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activeX/activeX1.xml" ContentType="application/vnd.ms-office.activeX+xml"/>
  <Override PartName="/xl/tables/table8.xml" ContentType="application/vnd.openxmlformats-officedocument.spreadsheetml.table+xml"/>
  <Override PartName="/xl/drawings/drawing4.xml" ContentType="application/vnd.openxmlformats-officedocument.drawing+xml"/>
  <Override PartName="/xl/activeX/activeX2.xml" ContentType="application/vnd.ms-office.activeX+xml"/>
  <Override PartName="/xl/tables/table9.xml" ContentType="application/vnd.openxmlformats-officedocument.spreadsheetml.table+xml"/>
  <Override PartName="/xl/drawings/drawing5.xml" ContentType="application/vnd.openxmlformats-officedocument.drawing+xml"/>
  <Override PartName="/xl/activeX/activeX3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1d8c4350c09839/Escritorio/COMFAMA/Curso de Excel/01 Bolsa empleo/01 Gestion de la informacion con excel 40H bolsa empleo/"/>
    </mc:Choice>
  </mc:AlternateContent>
  <xr:revisionPtr revIDLastSave="4079" documentId="13_ncr:1_{88F8DA83-0FC0-4869-96D8-EE87805E3409}" xr6:coauthVersionLast="47" xr6:coauthVersionMax="47" xr10:uidLastSave="{DC43458B-18A6-4801-B24F-3CFBB4F19D91}"/>
  <bookViews>
    <workbookView xWindow="-120" yWindow="-120" windowWidth="20730" windowHeight="11040" tabRatio="878" activeTab="7" xr2:uid="{00000000-000D-0000-FFFF-FFFF00000000}"/>
  </bookViews>
  <sheets>
    <sheet name="FORMULAS" sheetId="2" r:id="rId1"/>
    <sheet name="VALIDACION SELECT" sheetId="3" r:id="rId2"/>
    <sheet name="INVENTARIO" sheetId="1" r:id="rId3"/>
    <sheet name="POR ULTIMO BLOQUEAR" sheetId="4" r:id="rId4"/>
    <sheet name="BuscarH" sheetId="5" r:id="rId5"/>
    <sheet name="BuscarX" sheetId="6" r:id="rId6"/>
    <sheet name="Buscar VB" sheetId="9" r:id="rId7"/>
    <sheet name="Buscar VB avanzado" sheetId="10" r:id="rId8"/>
    <sheet name="Hoja1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0" l="1" a="1"/>
  <c r="H5" i="10" s="1"/>
  <c r="I5" i="10" s="1"/>
  <c r="C2" i="1"/>
  <c r="C9" i="1"/>
  <c r="D9" i="1"/>
  <c r="C18" i="1"/>
  <c r="C19" i="1"/>
  <c r="D18" i="1"/>
  <c r="D19" i="1"/>
  <c r="C17" i="1"/>
  <c r="D17" i="1"/>
  <c r="C16" i="1"/>
  <c r="D16" i="1"/>
  <c r="K23" i="6"/>
  <c r="J23" i="6"/>
  <c r="N19" i="6"/>
  <c r="M19" i="6"/>
  <c r="K19" i="6"/>
  <c r="L19" i="6"/>
  <c r="J19" i="6"/>
  <c r="C6" i="1"/>
  <c r="F16" i="10"/>
  <c r="F8" i="10"/>
  <c r="A6" i="9" a="1"/>
  <c r="A6" i="9" s="1"/>
  <c r="D28" i="9"/>
  <c r="C28" i="9"/>
  <c r="D27" i="9"/>
  <c r="C27" i="9"/>
  <c r="D26" i="9"/>
  <c r="C26" i="9"/>
  <c r="D25" i="9"/>
  <c r="C25" i="9"/>
  <c r="D24" i="9"/>
  <c r="C24" i="9"/>
  <c r="D23" i="9"/>
  <c r="C23" i="9"/>
  <c r="D22" i="9"/>
  <c r="C22" i="9"/>
  <c r="D21" i="9"/>
  <c r="C21" i="9"/>
  <c r="D20" i="9"/>
  <c r="C20" i="9"/>
  <c r="D19" i="9"/>
  <c r="C19" i="9"/>
  <c r="K7" i="6"/>
  <c r="L7" i="6"/>
  <c r="K3" i="6"/>
  <c r="L3" i="6"/>
  <c r="H11" i="5"/>
  <c r="F12" i="6"/>
  <c r="E12" i="6"/>
  <c r="F11" i="6"/>
  <c r="E11" i="6"/>
  <c r="F10" i="6"/>
  <c r="E10" i="6"/>
  <c r="F9" i="6"/>
  <c r="E9" i="6"/>
  <c r="F8" i="6"/>
  <c r="E8" i="6"/>
  <c r="F7" i="6"/>
  <c r="E7" i="6"/>
  <c r="F6" i="6"/>
  <c r="E6" i="6"/>
  <c r="F5" i="6"/>
  <c r="E5" i="6"/>
  <c r="F4" i="6"/>
  <c r="E4" i="6"/>
  <c r="F3" i="6"/>
  <c r="N3" i="6" s="1"/>
  <c r="E3" i="6"/>
  <c r="D13" i="5"/>
  <c r="C13" i="5"/>
  <c r="D12" i="5"/>
  <c r="C12" i="5"/>
  <c r="D11" i="5"/>
  <c r="C11" i="5"/>
  <c r="D10" i="5"/>
  <c r="C10" i="5"/>
  <c r="D9" i="5"/>
  <c r="C9" i="5"/>
  <c r="D8" i="5"/>
  <c r="C8" i="5"/>
  <c r="D7" i="5"/>
  <c r="C7" i="5"/>
  <c r="D6" i="5"/>
  <c r="C6" i="5"/>
  <c r="D5" i="5"/>
  <c r="C5" i="5"/>
  <c r="D4" i="5"/>
  <c r="C4" i="5"/>
  <c r="E19" i="1" l="1"/>
  <c r="E18" i="1"/>
  <c r="E9" i="1"/>
  <c r="E17" i="1"/>
  <c r="E16" i="1"/>
  <c r="E6" i="5"/>
  <c r="G3" i="6"/>
  <c r="O3" i="6" s="1"/>
  <c r="G7" i="6"/>
  <c r="E4" i="5"/>
  <c r="E8" i="5"/>
  <c r="E12" i="5"/>
  <c r="G11" i="6"/>
  <c r="E19" i="9"/>
  <c r="E20" i="9"/>
  <c r="G9" i="6"/>
  <c r="N7" i="6"/>
  <c r="E24" i="9"/>
  <c r="F15" i="10"/>
  <c r="F5" i="10"/>
  <c r="F9" i="10"/>
  <c r="F13" i="10"/>
  <c r="B22" i="10" a="1"/>
  <c r="B22" i="10" s="1"/>
  <c r="F12" i="10"/>
  <c r="F10" i="10"/>
  <c r="F14" i="10"/>
  <c r="B28" i="10" s="1" a="1"/>
  <c r="B28" i="10" s="1"/>
  <c r="F11" i="10"/>
  <c r="I12" i="10"/>
  <c r="I11" i="10"/>
  <c r="I13" i="10"/>
  <c r="I10" i="10"/>
  <c r="I14" i="10"/>
  <c r="I9" i="10"/>
  <c r="I8" i="10"/>
  <c r="I7" i="10"/>
  <c r="I6" i="10"/>
  <c r="F6" i="10"/>
  <c r="F7" i="10"/>
  <c r="E21" i="9"/>
  <c r="E25" i="9"/>
  <c r="E23" i="9"/>
  <c r="E22" i="9"/>
  <c r="E26" i="9"/>
  <c r="E27" i="9"/>
  <c r="E28" i="9"/>
  <c r="E5" i="5"/>
  <c r="E9" i="5"/>
  <c r="E13" i="5"/>
  <c r="G6" i="6"/>
  <c r="E7" i="5"/>
  <c r="E11" i="5"/>
  <c r="G4" i="6"/>
  <c r="G12" i="6"/>
  <c r="M7" i="6"/>
  <c r="E10" i="5"/>
  <c r="O7" i="6"/>
  <c r="M3" i="6"/>
  <c r="G5" i="6"/>
  <c r="G8" i="6"/>
  <c r="G10" i="6"/>
  <c r="M13" i="1"/>
  <c r="D15" i="1"/>
  <c r="H10" i="1"/>
  <c r="H16" i="1"/>
  <c r="C15" i="1"/>
  <c r="M6" i="1"/>
  <c r="M7" i="1"/>
  <c r="M8" i="1"/>
  <c r="M9" i="1"/>
  <c r="M10" i="1"/>
  <c r="M11" i="1"/>
  <c r="M12" i="1"/>
  <c r="M14" i="1"/>
  <c r="M15" i="1"/>
  <c r="D6" i="1"/>
  <c r="D7" i="1"/>
  <c r="D8" i="1"/>
  <c r="D10" i="1"/>
  <c r="D11" i="1"/>
  <c r="D12" i="1"/>
  <c r="D13" i="1"/>
  <c r="D14" i="1"/>
  <c r="C7" i="1"/>
  <c r="C8" i="1"/>
  <c r="C10" i="1"/>
  <c r="C11" i="1"/>
  <c r="C12" i="1"/>
  <c r="C13" i="1"/>
  <c r="C14" i="1"/>
  <c r="H15" i="1"/>
  <c r="H14" i="1"/>
  <c r="H7" i="1"/>
  <c r="H6" i="1"/>
  <c r="H8" i="1"/>
  <c r="H9" i="1"/>
  <c r="H11" i="1"/>
  <c r="H12" i="1"/>
  <c r="H13" i="1"/>
  <c r="E14" i="1" l="1"/>
  <c r="E10" i="1"/>
  <c r="E15" i="1"/>
  <c r="E6" i="1"/>
  <c r="E11" i="1"/>
  <c r="E7" i="1"/>
  <c r="E8" i="1"/>
  <c r="E12" i="1"/>
  <c r="E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<sst xmlns="http://schemas.openxmlformats.org/spreadsheetml/2006/main" count="464" uniqueCount="117">
  <si>
    <t>ARTICULO</t>
  </si>
  <si>
    <t>ENTRADAS</t>
  </si>
  <si>
    <t>SALIDAS</t>
  </si>
  <si>
    <t>STOCK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</si>
  <si>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</si>
  <si>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</si>
  <si>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</si>
  <si>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</si>
  <si>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</si>
  <si>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</si>
  <si>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</si>
  <si>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</si>
  <si>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</si>
  <si>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ESPONJAS</t>
  </si>
  <si>
    <t>VINAGRE</t>
  </si>
  <si>
    <t>DETERGENTE</t>
  </si>
  <si>
    <t>LIMPIA VIDRIOS</t>
  </si>
  <si>
    <t>QUITAMANCHAS</t>
  </si>
  <si>
    <t>LUSTRAMUEBLES</t>
  </si>
  <si>
    <t>CEPILLO INODORO</t>
  </si>
  <si>
    <t>MOPA O FREGENA</t>
  </si>
  <si>
    <t>GUANTES DE GOMA</t>
  </si>
  <si>
    <t>FECHA</t>
  </si>
  <si>
    <t>01/01/2022</t>
  </si>
  <si>
    <t>02/01/2022</t>
  </si>
  <si>
    <t>03/01/2022</t>
  </si>
  <si>
    <t>01/02/2022</t>
  </si>
  <si>
    <t>PRODUCTOS</t>
  </si>
  <si>
    <t>STOCK = ENTRADAS - SALIDAS</t>
  </si>
  <si>
    <t>A010</t>
  </si>
  <si>
    <t>=BUSCARV([@CODIGO];PRODUCTOS;2;FALSO)</t>
  </si>
  <si>
    <t>TABLA PRODUCTOS</t>
  </si>
  <si>
    <t>TABLA ENTRADA Y SALIDAS</t>
  </si>
  <si>
    <t>BLOQUEAR CELDAS DE ENTRADAS Y SALIDAS</t>
  </si>
  <si>
    <t>=SI.ERROR(formula,"Mensaje si hay error")</t>
  </si>
  <si>
    <t xml:space="preserve"> si no hay error ejecuta la formula, si hay muestra mensaje</t>
  </si>
  <si>
    <t>busca el codigo de la tabla entrada o salida en tabla productos, se trae la columna 2 con coincidencia exacta.</t>
  </si>
  <si>
    <t>BLOQUEAR LA COLUMNA ARTICULOS</t>
  </si>
  <si>
    <t>COD</t>
  </si>
  <si>
    <t>03/01/2023</t>
  </si>
  <si>
    <t>CANT</t>
  </si>
  <si>
    <t>=SUMAR.SI(ENTRADAS[COD];[@COD];ENTRADAS[CANT])</t>
  </si>
  <si>
    <t>ENTRADAS (COMPRAS A PROVEEDOR)</t>
  </si>
  <si>
    <t>SALIDAS (FACTURAS A CLIENTES)</t>
  </si>
  <si>
    <t>=SI.ERROR(BUSCARV([@COD];PRODUCTOS;2;FALSO);"No Existe")</t>
  </si>
  <si>
    <t>Busca en los codigos de salida los que son iguales al del producto y los suma</t>
  </si>
  <si>
    <t>busca en los codigos de entrada los que son iguales al de prodcuto y los suma</t>
  </si>
  <si>
    <t>CHAMPU SAVITEL</t>
  </si>
  <si>
    <t>03/01/2024</t>
  </si>
  <si>
    <t>A</t>
  </si>
  <si>
    <t>B</t>
  </si>
  <si>
    <t>C</t>
  </si>
  <si>
    <t>OPCIONES FIJAS</t>
  </si>
  <si>
    <t>OPCIONES ACTUALIZABLES</t>
  </si>
  <si>
    <t>A ACTUALIZABLE</t>
  </si>
  <si>
    <t>B ACTUALIZABLE</t>
  </si>
  <si>
    <t>D</t>
  </si>
  <si>
    <t>OTRA OPCION</t>
  </si>
  <si>
    <t>LISTA FIJA</t>
  </si>
  <si>
    <t>LISTA ACTUALIZABLE</t>
  </si>
  <si>
    <t>Mostramos mensaje de error</t>
  </si>
  <si>
    <t>Vamos a la ficha datos / grupo herramientas de datos</t>
  </si>
  <si>
    <t>Vamos a la opcion validadcion de datos</t>
  </si>
  <si>
    <t>Proteger hoja:No deja insertar filas a la tabla</t>
  </si>
  <si>
    <t>Sumar.Si (Col. Cod. Entrada; Celda Cod. Producto, Col. Cantidad Entrada)</t>
  </si>
  <si>
    <t>Si.Error (Condición con fórmula; Respuesta si hay error)</t>
  </si>
  <si>
    <t>BuscarV (Código; Tabla; Numero de Columna; Tipo de búsqueda exacta)</t>
  </si>
  <si>
    <t>a001</t>
  </si>
  <si>
    <t>codigo</t>
  </si>
  <si>
    <t>Resultado</t>
  </si>
  <si>
    <t>cod</t>
  </si>
  <si>
    <t>resultado 2</t>
  </si>
  <si>
    <t>resultado 3</t>
  </si>
  <si>
    <t>resultado 4</t>
  </si>
  <si>
    <t>resultado 5</t>
  </si>
  <si>
    <t>resultado 1</t>
  </si>
  <si>
    <t>buscarV</t>
  </si>
  <si>
    <t>buscarx</t>
  </si>
  <si>
    <t xml:space="preserve">https://www.youtube.com/watch?v=gihQjybkxxE </t>
  </si>
  <si>
    <t>buscarX</t>
  </si>
  <si>
    <t>Menu insertar / ilustraciones / formas</t>
  </si>
  <si>
    <t>ir al</t>
  </si>
  <si>
    <t>paso 1</t>
  </si>
  <si>
    <t>paso 2</t>
  </si>
  <si>
    <t>ir al menu</t>
  </si>
  <si>
    <t>programador/control active X/ cuadro texto</t>
  </si>
  <si>
    <t>paso 3</t>
  </si>
  <si>
    <t>busco linkedCell y lo asocio a la celda B2</t>
  </si>
  <si>
    <t>paso 4</t>
  </si>
  <si>
    <t>organiza dentro de la ilustracion y desactiva el modo diseño</t>
  </si>
  <si>
    <t>tabla a la que le aplicaremos la funcion filtrar mediante cuadro de texto del control activeX</t>
  </si>
  <si>
    <r>
      <t>=FILTRAR(</t>
    </r>
    <r>
      <rPr>
        <b/>
        <sz val="11"/>
        <color rgb="FFFF0000"/>
        <rFont val="Calibri"/>
        <family val="2"/>
        <scheme val="minor"/>
      </rPr>
      <t>TABLA1</t>
    </r>
    <r>
      <rPr>
        <sz val="11"/>
        <color theme="1"/>
        <rFont val="Calibri"/>
        <family val="2"/>
        <scheme val="minor"/>
      </rPr>
      <t>;</t>
    </r>
    <r>
      <rPr>
        <b/>
        <sz val="11"/>
        <color theme="4"/>
        <rFont val="Calibri"/>
        <family val="2"/>
        <scheme val="minor"/>
      </rPr>
      <t>TABLA1</t>
    </r>
    <r>
      <rPr>
        <b/>
        <sz val="11"/>
        <color theme="1"/>
        <rFont val="Calibri"/>
        <family val="2"/>
        <scheme val="minor"/>
      </rPr>
      <t>[COD]=B2</t>
    </r>
    <r>
      <rPr>
        <sz val="11"/>
        <color theme="1"/>
        <rFont val="Calibri"/>
        <family val="2"/>
        <scheme val="minor"/>
      </rPr>
      <t>;"No se encontro")</t>
    </r>
  </si>
  <si>
    <t>Usamos funcion filtrar() y sus parametros son tabla, columna de busqueda y mensaje.</t>
  </si>
  <si>
    <t>HALLAR</t>
  </si>
  <si>
    <t>TEXTO A BUSCAR</t>
  </si>
  <si>
    <t>ES NUMERO</t>
  </si>
  <si>
    <t>FORMULA SENCILLA DE BUSQUEDA</t>
  </si>
  <si>
    <t>FORMULA AVANZADA DE BUSQUEDA</t>
  </si>
  <si>
    <r>
      <t>=FILTRAR(</t>
    </r>
    <r>
      <rPr>
        <b/>
        <sz val="11"/>
        <color rgb="FF0070C0"/>
        <rFont val="Calibri"/>
        <family val="2"/>
        <scheme val="minor"/>
      </rPr>
      <t>TABLA2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70C0"/>
        <rFont val="Calibri"/>
        <family val="2"/>
        <scheme val="minor"/>
      </rPr>
      <t>TABLA2</t>
    </r>
    <r>
      <rPr>
        <b/>
        <sz val="11"/>
        <color theme="1"/>
        <rFont val="Calibri"/>
        <family val="2"/>
        <scheme val="minor"/>
      </rPr>
      <t>[COD]=B2</t>
    </r>
    <r>
      <rPr>
        <sz val="11"/>
        <color theme="1"/>
        <rFont val="Calibri"/>
        <family val="2"/>
        <scheme val="minor"/>
      </rPr>
      <t>;"No se encontro")</t>
    </r>
  </si>
  <si>
    <t>A011</t>
  </si>
  <si>
    <t>CHAMPU SAL</t>
  </si>
  <si>
    <t>A012</t>
  </si>
  <si>
    <t>JABON REY</t>
  </si>
  <si>
    <r>
      <t>=FILTRAR(</t>
    </r>
    <r>
      <rPr>
        <b/>
        <sz val="11"/>
        <color rgb="FF0070C0"/>
        <rFont val="Calibri"/>
        <family val="2"/>
        <scheme val="minor"/>
      </rPr>
      <t>TABLA2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B050"/>
        <rFont val="Calibri"/>
        <family val="2"/>
        <scheme val="minor"/>
      </rPr>
      <t>ESNUMERO</t>
    </r>
    <r>
      <rPr>
        <sz val="11"/>
        <color theme="1"/>
        <rFont val="Calibri"/>
        <family val="2"/>
        <scheme val="minor"/>
      </rPr>
      <t>(</t>
    </r>
    <r>
      <rPr>
        <b/>
        <sz val="11"/>
        <color theme="1"/>
        <rFont val="Calibri"/>
        <family val="2"/>
        <scheme val="minor"/>
      </rPr>
      <t>HALLAR</t>
    </r>
    <r>
      <rPr>
        <sz val="11"/>
        <color theme="1"/>
        <rFont val="Calibri"/>
        <family val="2"/>
        <scheme val="minor"/>
      </rPr>
      <t>(B2;</t>
    </r>
    <r>
      <rPr>
        <b/>
        <sz val="11"/>
        <color rgb="FF0070C0"/>
        <rFont val="Calibri"/>
        <family val="2"/>
        <scheme val="minor"/>
      </rPr>
      <t>TABLA2[COD]</t>
    </r>
    <r>
      <rPr>
        <sz val="11"/>
        <color theme="1"/>
        <rFont val="Calibri"/>
        <family val="2"/>
        <scheme val="minor"/>
      </rPr>
      <t>));"No se encontro")</t>
    </r>
  </si>
  <si>
    <t xml:space="preserve">https://www.youtube.com/watch?v=JQjxFpAk0YQ </t>
  </si>
  <si>
    <t xml:space="preserve"> </t>
  </si>
  <si>
    <t>costos</t>
  </si>
  <si>
    <t>a004</t>
  </si>
  <si>
    <t>buscar por nombre</t>
  </si>
  <si>
    <t>CHAMPU SAVITEL t1</t>
  </si>
  <si>
    <t>CHAMPU SAVITEL t2</t>
  </si>
  <si>
    <t>CHAMPU SAVITEL t3</t>
  </si>
  <si>
    <t>CHAMPU SAVITEL t4</t>
  </si>
  <si>
    <t>A013</t>
  </si>
  <si>
    <t>A014</t>
  </si>
  <si>
    <t>'=FILTRAR(TABLA1;TABLA1[COD]=B2;"No se encontro")</t>
  </si>
  <si>
    <t>=FILTRAR(PRODUCTOS;PRODUCTOS[COD]=C2;"No existe")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</si>
</sst>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7">
    <xf numFmtId="0" fontId="0" fillId="0" borderId="0"/>
    <xf numFmtId="0" fontId="9" fillId="7" borderId="3" applyNumberFormat="0" applyAlignment="0" applyProtection="0"/>
    <xf numFmtId="0" fontId="10" fillId="8" borderId="4" applyNumberFormat="0" applyAlignment="0" applyProtection="0"/>
    <xf numFmtId="0" fontId="11" fillId="8" borderId="3" applyNumberFormat="0" applyAlignment="0" applyProtection="0"/>
    <xf numFmtId="0" fontId="7" fillId="9" borderId="5" applyNumberFormat="0" applyFont="0" applyAlignment="0" applyProtection="0"/>
    <xf numFmtId="0" fontId="12" fillId="0" borderId="0" applyNumberFormat="0" applyFill="0" applyBorder="0" applyAlignment="0" applyProtection="0"/>
    <xf numFmtId="0" fontId="18" fillId="13" borderId="0" applyNumberFormat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0" xfId="0" quotePrefix="1" applyFont="1"/>
    <xf numFmtId="0" fontId="3" fillId="5" borderId="0" xfId="0" applyFont="1" applyFill="1" applyAlignment="1">
      <alignment horizontal="center"/>
    </xf>
    <xf numFmtId="0" fontId="0" fillId="6" borderId="0" xfId="0" applyFill="1"/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quotePrefix="1"/>
    <xf numFmtId="0" fontId="5" fillId="0" borderId="0" xfId="0" applyFont="1"/>
    <xf numFmtId="0" fontId="6" fillId="0" borderId="0" xfId="0" applyFont="1" applyAlignment="1">
      <alignment horizontal="left" vertical="center" indent="2"/>
    </xf>
    <xf numFmtId="0" fontId="1" fillId="10" borderId="1" xfId="0" applyFont="1" applyFill="1" applyBorder="1"/>
    <xf numFmtId="0" fontId="9" fillId="7" borderId="3" xfId="1"/>
    <xf numFmtId="0" fontId="10" fillId="8" borderId="4" xfId="2"/>
    <xf numFmtId="0" fontId="8" fillId="9" borderId="5" xfId="4" applyFont="1"/>
    <xf numFmtId="0" fontId="11" fillId="8" borderId="3" xfId="3"/>
    <xf numFmtId="0" fontId="1" fillId="0" borderId="0" xfId="0" applyFont="1" applyAlignment="1">
      <alignment horizontal="left" vertical="top"/>
    </xf>
    <xf numFmtId="0" fontId="11" fillId="8" borderId="3" xfId="3" quotePrefix="1"/>
    <xf numFmtId="0" fontId="12" fillId="0" borderId="0" xfId="5"/>
    <xf numFmtId="0" fontId="1" fillId="0" borderId="1" xfId="0" applyFont="1" applyBorder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11" borderId="0" xfId="0" applyFill="1"/>
    <xf numFmtId="0" fontId="1" fillId="9" borderId="5" xfId="4" applyFont="1"/>
    <xf numFmtId="0" fontId="1" fillId="9" borderId="6" xfId="4" applyFont="1" applyBorder="1"/>
    <xf numFmtId="0" fontId="11" fillId="8" borderId="7" xfId="3" applyBorder="1"/>
    <xf numFmtId="0" fontId="1" fillId="11" borderId="0" xfId="4" applyFont="1" applyFill="1" applyBorder="1"/>
    <xf numFmtId="0" fontId="11" fillId="11" borderId="0" xfId="3" applyFill="1" applyBorder="1"/>
    <xf numFmtId="0" fontId="13" fillId="12" borderId="0" xfId="0" applyFont="1" applyFill="1" applyAlignment="1">
      <alignment horizontal="center"/>
    </xf>
    <xf numFmtId="0" fontId="15" fillId="0" borderId="0" xfId="0" applyFont="1"/>
    <xf numFmtId="0" fontId="1" fillId="9" borderId="1" xfId="4" applyFont="1" applyBorder="1"/>
    <xf numFmtId="0" fontId="11" fillId="8" borderId="1" xfId="3" applyBorder="1"/>
    <xf numFmtId="0" fontId="1" fillId="0" borderId="0" xfId="4" applyFont="1" applyFill="1" applyBorder="1"/>
    <xf numFmtId="0" fontId="11" fillId="0" borderId="0" xfId="3" applyFill="1" applyBorder="1"/>
    <xf numFmtId="0" fontId="0" fillId="0" borderId="0" xfId="0" applyAlignment="1">
      <alignment vertical="center" wrapText="1"/>
    </xf>
    <xf numFmtId="0" fontId="18" fillId="13" borderId="1" xfId="6" applyBorder="1"/>
    <xf numFmtId="0" fontId="13" fillId="13" borderId="1" xfId="6" applyFont="1" applyBorder="1"/>
    <xf numFmtId="0" fontId="17" fillId="0" borderId="0" xfId="0" applyFont="1"/>
    <xf numFmtId="0" fontId="13" fillId="13" borderId="5" xfId="6" applyFont="1" applyBorder="1"/>
    <xf numFmtId="0" fontId="13" fillId="13" borderId="8" xfId="6" applyFont="1" applyBorder="1"/>
    <xf numFmtId="0" fontId="9" fillId="7" borderId="1" xfId="1" applyBorder="1"/>
    <xf numFmtId="0" fontId="13" fillId="13" borderId="1" xfId="6" applyFont="1" applyBorder="1" applyAlignment="1">
      <alignment horizontal="center"/>
    </xf>
    <xf numFmtId="0" fontId="10" fillId="8" borderId="4" xfId="2" quotePrefix="1" applyAlignment="1">
      <alignment horizontal="left"/>
    </xf>
    <xf numFmtId="0" fontId="17" fillId="0" borderId="0" xfId="0" quotePrefix="1" applyFont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quotePrefix="1" applyAlignment="1">
      <alignment horizontal="center" vertical="center" wrapText="1"/>
    </xf>
  </cellXfs>
  <cellStyles count="7">
    <cellStyle name="Cálculo" xfId="3" builtinId="22"/>
    <cellStyle name="Énfasis1" xfId="6" builtinId="29"/>
    <cellStyle name="Entrada" xfId="1" builtinId="20"/>
    <cellStyle name="Hipervínculo" xfId="5" builtinId="8"/>
    <cellStyle name="Normal" xfId="0" builtinId="0"/>
    <cellStyle name="Notas" xfId="4" builtinId="10"/>
    <cellStyle name="Salida" xfId="2" builtinId="21"/>
  </cellStyles>
  <dxfs count="61"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1" hidden="0"/>
    </dxf>
    <dxf>
      <protection locked="1" hidden="0"/>
    </dxf>
    <dxf>
      <border outline="0">
        <top style="thin">
          <color auto="1"/>
        </top>
      </border>
    </dxf>
    <dxf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1" hidden="0"/>
    </dxf>
    <dxf>
      <protection locked="1" hidden="0"/>
    </dxf>
    <dxf>
      <border outline="0">
        <top style="thin">
          <color auto="1"/>
        </top>
      </border>
    </dxf>
    <dxf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1" hidden="0"/>
    </dxf>
    <dxf>
      <protection locked="1" hidden="0"/>
    </dxf>
    <dxf>
      <border outline="0">
        <top style="thin">
          <color auto="1"/>
        </top>
      </border>
    </dxf>
    <dxf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1" hidden="0"/>
    </dxf>
    <dxf>
      <protection locked="1" hidden="0"/>
    </dxf>
    <dxf>
      <border outline="0">
        <top style="thin">
          <color auto="1"/>
        </top>
      </border>
    </dxf>
    <dxf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protection locked="1" hidden="0"/>
    </dxf>
    <dxf>
      <protection locked="1" hidden="0"/>
    </dxf>
    <dxf>
      <numFmt numFmtId="0" formatCode="General"/>
      <protection locked="1" hidden="0"/>
    </dxf>
    <dxf>
      <protection locked="1" hidden="0"/>
    </dxf>
    <dxf>
      <border outline="0">
        <top style="thin">
          <color auto="1"/>
        </top>
      </border>
    </dxf>
    <dxf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protection locked="1" hidden="0"/>
    </dxf>
    <dxf>
      <protection locked="1" hidden="0"/>
    </dxf>
    <dxf>
      <numFmt numFmtId="0" formatCode="General"/>
      <protection locked="1" hidden="0"/>
    </dxf>
    <dxf>
      <protection locked="1" hidden="0"/>
    </dxf>
    <dxf>
      <border outline="0">
        <top style="thin">
          <color auto="1"/>
        </top>
      </border>
    </dxf>
    <dxf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1" hidden="0"/>
    </dxf>
    <dxf>
      <protection locked="1" hidden="0"/>
    </dxf>
    <dxf>
      <border outline="0">
        <top style="thin">
          <color auto="1"/>
        </top>
      </border>
    </dxf>
    <dxf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sv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svg"/><Relationship Id="rId1" Type="http://schemas.openxmlformats.org/officeDocument/2006/relationships/image" Target="../media/image1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12998</xdr:colOff>
      <xdr:row>14</xdr:row>
      <xdr:rowOff>103540</xdr:rowOff>
    </xdr:from>
    <xdr:to>
      <xdr:col>1</xdr:col>
      <xdr:colOff>3148368</xdr:colOff>
      <xdr:row>22</xdr:row>
      <xdr:rowOff>161362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6EAF85-4E69-C5F4-C198-ABBC6E90E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598" y="2613658"/>
          <a:ext cx="3135370" cy="1492175"/>
        </a:xfrm>
        <a:prstGeom prst="rect">
          <a:avLst/>
        </a:prstGeom>
      </xdr:spPr>
    </xdr:pic>
    <xdr:clientData/>
  </xdr:twoCellAnchor>
  <xdr:twoCellAnchor editAs="oneCell">
    <xdr:from>
      <xdr:col>1</xdr:col>
      <xdr:colOff>38996</xdr:colOff>
      <xdr:row>2</xdr:row>
      <xdr:rowOff>33171</xdr:rowOff>
    </xdr:from>
    <xdr:to>
      <xdr:col>6</xdr:col>
      <xdr:colOff>565416</xdr:colOff>
      <xdr:row>11</xdr:row>
      <xdr:rowOff>88877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C56B91-60DD-EF87-083F-DF6E187A3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596" y="391759"/>
          <a:ext cx="6192114" cy="1669354"/>
        </a:xfrm>
        <a:prstGeom prst="rect">
          <a:avLst/>
        </a:prstGeom>
      </xdr:spPr>
    </xdr:pic>
    <xdr:clientData/>
  </xdr:twoCellAnchor>
  <xdr:twoCellAnchor editAs="oneCell">
    <xdr:from>
      <xdr:col>1</xdr:col>
      <xdr:colOff>62753</xdr:colOff>
      <xdr:row>26</xdr:row>
      <xdr:rowOff>107576</xdr:rowOff>
    </xdr:from>
    <xdr:to>
      <xdr:col>3</xdr:col>
      <xdr:colOff>172570</xdr:colOff>
      <xdr:row>42</xdr:row>
      <xdr:rowOff>8964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9E16FF-C8B9-6B75-DC65-2D98AA51E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5835" y="4930588"/>
          <a:ext cx="3946711" cy="27700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4</xdr:row>
      <xdr:rowOff>91440</xdr:rowOff>
    </xdr:from>
    <xdr:to>
      <xdr:col>0</xdr:col>
      <xdr:colOff>2423479</xdr:colOff>
      <xdr:row>12</xdr:row>
      <xdr:rowOff>66876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066299-CBE6-4C37-AB68-BD310BFCC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" y="3002280"/>
          <a:ext cx="2286319" cy="1438476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</xdr:colOff>
      <xdr:row>4</xdr:row>
      <xdr:rowOff>76200</xdr:rowOff>
    </xdr:from>
    <xdr:to>
      <xdr:col>4</xdr:col>
      <xdr:colOff>2347279</xdr:colOff>
      <xdr:row>12</xdr:row>
      <xdr:rowOff>51636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6A63F1-DE85-47E4-B484-94A10308C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5840" y="2987040"/>
          <a:ext cx="2286319" cy="1438476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121921</xdr:colOff>
      <xdr:row>13</xdr:row>
      <xdr:rowOff>30480</xdr:rowOff>
    </xdr:from>
    <xdr:to>
      <xdr:col>1</xdr:col>
      <xdr:colOff>38101</xdr:colOff>
      <xdr:row>23</xdr:row>
      <xdr:rowOff>4158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E458ACE-0F85-495B-B78C-C8331C08B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1" y="4587240"/>
          <a:ext cx="4343400" cy="1802478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13</xdr:row>
      <xdr:rowOff>30480</xdr:rowOff>
    </xdr:from>
    <xdr:to>
      <xdr:col>4</xdr:col>
      <xdr:colOff>4419600</xdr:colOff>
      <xdr:row>23</xdr:row>
      <xdr:rowOff>4158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552EEA7-7243-43E0-B807-BFB1428EE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1080" y="4587240"/>
          <a:ext cx="4343400" cy="18024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364124</xdr:colOff>
      <xdr:row>1</xdr:row>
      <xdr:rowOff>23900</xdr:rowOff>
    </xdr:from>
    <xdr:to>
      <xdr:col>14</xdr:col>
      <xdr:colOff>708604</xdr:colOff>
      <xdr:row>12</xdr:row>
      <xdr:rowOff>89361</xdr:rowOff>
    </xdr:to>
    <xdr:grpSp>
      <xdr:nvGrpSpPr>
        <xdr:cNvPr id="22" name="Grupo 21">
          <a:extLst>
            <a:ext uri="{FF2B5EF4-FFF2-40B4-BE49-F238E27FC236}">
              <a16:creationId xmlns:a16="http://schemas.microsoft.com/office/drawing/2014/main" id="{24DCC6A8-B848-7E45-191A-2E1912ECF4C2}"/>
            </a:ext>
          </a:extLst>
        </xdr:cNvPr>
        <xdr:cNvGrpSpPr/>
      </xdr:nvGrpSpPr>
      <xdr:grpSpPr>
        <a:xfrm>
          <a:off x="4616953" y="216071"/>
          <a:ext cx="5666783" cy="2170987"/>
          <a:chOff x="4157559" y="139857"/>
          <a:chExt cx="5678480" cy="2160961"/>
        </a:xfrm>
      </xdr:grpSpPr>
      <xdr:grpSp>
        <xdr:nvGrpSpPr>
          <xdr:cNvPr id="21" name="Grupo 20">
            <a:extLst>
              <a:ext uri="{FF2B5EF4-FFF2-40B4-BE49-F238E27FC236}">
                <a16:creationId xmlns:a16="http://schemas.microsoft.com/office/drawing/2014/main" id="{D190774E-FEF9-1AF2-E5BB-083DC21B06FA}"/>
              </a:ext>
            </a:extLst>
          </xdr:cNvPr>
          <xdr:cNvGrpSpPr/>
        </xdr:nvGrpSpPr>
        <xdr:grpSpPr>
          <a:xfrm>
            <a:off x="7093700" y="139857"/>
            <a:ext cx="2742339" cy="1671975"/>
            <a:chOff x="7143396" y="346923"/>
            <a:chExt cx="2742339" cy="1671975"/>
          </a:xfrm>
        </xdr:grpSpPr>
        <xdr:pic>
          <xdr:nvPicPr>
            <xdr:cNvPr id="9" name="Imagen 8">
              <a:extLst>
                <a:ext uri="{FF2B5EF4-FFF2-40B4-BE49-F238E27FC236}">
                  <a16:creationId xmlns:a16="http://schemas.microsoft.com/office/drawing/2014/main" id="{88D16662-C5A2-A058-E346-DD4E2A9C8B5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143396" y="346923"/>
              <a:ext cx="2724530" cy="714475"/>
            </a:xfrm>
            <a:prstGeom prst="rect">
              <a:avLst/>
            </a:prstGeom>
          </xdr:spPr>
        </xdr:pic>
        <xdr:pic>
          <xdr:nvPicPr>
            <xdr:cNvPr id="10" name="Imagen 9">
              <a:extLst>
                <a:ext uri="{FF2B5EF4-FFF2-40B4-BE49-F238E27FC236}">
                  <a16:creationId xmlns:a16="http://schemas.microsoft.com/office/drawing/2014/main" id="{7F1A06A3-F790-A6CB-E8F8-232188D034B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151678" y="1075791"/>
              <a:ext cx="2734057" cy="943107"/>
            </a:xfrm>
            <a:prstGeom prst="rect">
              <a:avLst/>
            </a:prstGeom>
          </xdr:spPr>
        </xdr:pic>
      </xdr:grpSp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BBD4CF5A-2C06-D4E4-FBBF-E152041FE9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157559" y="647224"/>
            <a:ext cx="2780738" cy="1653594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734312</xdr:colOff>
      <xdr:row>16</xdr:row>
      <xdr:rowOff>27214</xdr:rowOff>
    </xdr:from>
    <xdr:to>
      <xdr:col>10</xdr:col>
      <xdr:colOff>172578</xdr:colOff>
      <xdr:row>32</xdr:row>
      <xdr:rowOff>8587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A1A8ED93-B88A-F241-B2A1-3AB9D56E0D89}"/>
            </a:ext>
          </a:extLst>
        </xdr:cNvPr>
        <xdr:cNvGrpSpPr/>
      </xdr:nvGrpSpPr>
      <xdr:grpSpPr>
        <a:xfrm>
          <a:off x="4987141" y="3093596"/>
          <a:ext cx="1719253" cy="3056109"/>
          <a:chOff x="4637314" y="4191000"/>
          <a:chExt cx="1724266" cy="3029373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89899952-E2FF-769E-52DB-B1CB638BF4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637314" y="4191000"/>
            <a:ext cx="1724266" cy="3029373"/>
          </a:xfrm>
          <a:prstGeom prst="rect">
            <a:avLst/>
          </a:prstGeom>
        </xdr:spPr>
      </xdr:pic>
      <xdr:sp macro="" textlink="">
        <xdr:nvSpPr>
          <xdr:cNvPr id="13" name="Elipse 12">
            <a:extLst>
              <a:ext uri="{FF2B5EF4-FFF2-40B4-BE49-F238E27FC236}">
                <a16:creationId xmlns:a16="http://schemas.microsoft.com/office/drawing/2014/main" id="{D34D6FFF-9BFE-EB74-58F8-3D836E08960D}"/>
              </a:ext>
            </a:extLst>
          </xdr:cNvPr>
          <xdr:cNvSpPr/>
        </xdr:nvSpPr>
        <xdr:spPr>
          <a:xfrm>
            <a:off x="5540829" y="6324600"/>
            <a:ext cx="538842" cy="451757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419" sz="1100"/>
          </a:p>
        </xdr:txBody>
      </xdr:sp>
    </xdr:grpSp>
    <xdr:clientData/>
  </xdr:twoCellAnchor>
  <xdr:twoCellAnchor>
    <xdr:from>
      <xdr:col>0</xdr:col>
      <xdr:colOff>8283</xdr:colOff>
      <xdr:row>0</xdr:row>
      <xdr:rowOff>109803</xdr:rowOff>
    </xdr:from>
    <xdr:to>
      <xdr:col>4</xdr:col>
      <xdr:colOff>550750</xdr:colOff>
      <xdr:row>2</xdr:row>
      <xdr:rowOff>189262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4779A77-C501-74AE-EB69-FFAC7B32FFD8}"/>
            </a:ext>
          </a:extLst>
        </xdr:cNvPr>
        <xdr:cNvGrpSpPr/>
      </xdr:nvGrpSpPr>
      <xdr:grpSpPr>
        <a:xfrm>
          <a:off x="8283" y="109803"/>
          <a:ext cx="3801020" cy="463801"/>
          <a:chOff x="59871" y="-411954"/>
          <a:chExt cx="3873953" cy="527957"/>
        </a:xfrm>
      </xdr:grpSpPr>
      <xdr:grpSp>
        <xdr:nvGrpSpPr>
          <xdr:cNvPr id="18" name="Grupo 17">
            <a:extLst>
              <a:ext uri="{FF2B5EF4-FFF2-40B4-BE49-F238E27FC236}">
                <a16:creationId xmlns:a16="http://schemas.microsoft.com/office/drawing/2014/main" id="{F3F9B0CC-D099-EE26-39CB-580D1108EAB0}"/>
              </a:ext>
            </a:extLst>
          </xdr:cNvPr>
          <xdr:cNvGrpSpPr/>
        </xdr:nvGrpSpPr>
        <xdr:grpSpPr>
          <a:xfrm>
            <a:off x="59871" y="-411954"/>
            <a:ext cx="3873953" cy="527957"/>
            <a:chOff x="59871" y="-602454"/>
            <a:chExt cx="3873953" cy="527957"/>
          </a:xfrm>
        </xdr:grpSpPr>
        <xdr:grpSp>
          <xdr:nvGrpSpPr>
            <xdr:cNvPr id="8" name="Grupo 7">
              <a:extLst>
                <a:ext uri="{FF2B5EF4-FFF2-40B4-BE49-F238E27FC236}">
                  <a16:creationId xmlns:a16="http://schemas.microsoft.com/office/drawing/2014/main" id="{E3D5CFFE-32D4-A644-346A-9F4F933EF922}"/>
                </a:ext>
              </a:extLst>
            </xdr:cNvPr>
            <xdr:cNvGrpSpPr/>
          </xdr:nvGrpSpPr>
          <xdr:grpSpPr>
            <a:xfrm>
              <a:off x="59871" y="-602454"/>
              <a:ext cx="3873953" cy="527957"/>
              <a:chOff x="59871" y="-602454"/>
              <a:chExt cx="3873953" cy="527957"/>
            </a:xfrm>
          </xdr:grpSpPr>
          <xdr:sp macro="" textlink="">
            <xdr:nvSpPr>
              <xdr:cNvPr id="4" name="Rectángulo: esquinas redondeadas 3">
                <a:extLst>
                  <a:ext uri="{FF2B5EF4-FFF2-40B4-BE49-F238E27FC236}">
                    <a16:creationId xmlns:a16="http://schemas.microsoft.com/office/drawing/2014/main" id="{2E6549E2-A6A4-70F4-D648-A64EA3C79558}"/>
                  </a:ext>
                </a:extLst>
              </xdr:cNvPr>
              <xdr:cNvSpPr/>
            </xdr:nvSpPr>
            <xdr:spPr>
              <a:xfrm>
                <a:off x="59871" y="-602454"/>
                <a:ext cx="3873953" cy="527957"/>
              </a:xfrm>
              <a:prstGeom prst="roundRect">
                <a:avLst>
                  <a:gd name="adj" fmla="val 50000"/>
                </a:avLst>
              </a:prstGeom>
              <a:solidFill>
                <a:sysClr val="window" lastClr="FFFFFF"/>
              </a:solidFill>
              <a:ln>
                <a:solidFill>
                  <a:srgbClr val="0070C0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419" sz="1100"/>
              </a:p>
            </xdr:txBody>
          </xdr:sp>
          <xdr:sp macro="" textlink="">
            <xdr:nvSpPr>
              <xdr:cNvPr id="5" name="Diagrama de flujo: retraso 4">
                <a:extLst>
                  <a:ext uri="{FF2B5EF4-FFF2-40B4-BE49-F238E27FC236}">
                    <a16:creationId xmlns:a16="http://schemas.microsoft.com/office/drawing/2014/main" id="{F2D0AA10-F850-C5BF-2C79-10D6DC3E9037}"/>
                  </a:ext>
                </a:extLst>
              </xdr:cNvPr>
              <xdr:cNvSpPr/>
            </xdr:nvSpPr>
            <xdr:spPr>
              <a:xfrm flipH="1">
                <a:off x="108858" y="-555172"/>
                <a:ext cx="522514" cy="440872"/>
              </a:xfrm>
              <a:prstGeom prst="flowChartDelay">
                <a:avLst/>
              </a:prstGeom>
              <a:ln>
                <a:solidFill>
                  <a:schemeClr val="accent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419" sz="1100"/>
              </a:p>
            </xdr:txBody>
          </xdr:sp>
        </xdr:grpSp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3073" name="TextBox1" hidden="1">
                  <a:extLst>
                    <a:ext uri="{63B3BB69-23CF-44E3-9099-C40C66FF867C}">
                      <a14:compatExt spid="_x0000_s3073"/>
                    </a:ext>
                    <a:ext uri="{FF2B5EF4-FFF2-40B4-BE49-F238E27FC236}">
                      <a16:creationId xmlns:a16="http://schemas.microsoft.com/office/drawing/2014/main" id="{00000000-0008-0000-0600-0000010C0000}"/>
                    </a:ext>
                  </a:extLst>
                </xdr:cNvPr>
                <xdr:cNvSpPr/>
              </xdr:nvSpPr>
              <xdr:spPr bwMode="auto">
                <a:xfrm>
                  <a:off x="699406" y="-479316"/>
                  <a:ext cx="2969079" cy="28575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</xdr:grpSp>
      <xdr:pic>
        <xdr:nvPicPr>
          <xdr:cNvPr id="2" name="Imagen 1" descr="Magnifying glass con relleno sólido">
            <a:extLst>
              <a:ext uri="{FF2B5EF4-FFF2-40B4-BE49-F238E27FC236}">
                <a16:creationId xmlns:a16="http://schemas.microsoft.com/office/drawing/2014/main" id="{8F644D59-9489-FACF-4389-328055A6B6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74172" y="-359229"/>
            <a:ext cx="438211" cy="447737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463825</xdr:colOff>
      <xdr:row>13</xdr:row>
      <xdr:rowOff>149087</xdr:rowOff>
    </xdr:from>
    <xdr:to>
      <xdr:col>14</xdr:col>
      <xdr:colOff>454511</xdr:colOff>
      <xdr:row>36</xdr:row>
      <xdr:rowOff>63962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9473621D-DA8D-7C23-4437-87BE6FDCEA3E}"/>
            </a:ext>
          </a:extLst>
        </xdr:cNvPr>
        <xdr:cNvGrpSpPr/>
      </xdr:nvGrpSpPr>
      <xdr:grpSpPr>
        <a:xfrm>
          <a:off x="8518299" y="2638955"/>
          <a:ext cx="1511344" cy="4334810"/>
          <a:chOff x="8464826" y="2484782"/>
          <a:chExt cx="1514686" cy="4296375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9EE03553-C084-6DEF-F738-E43230E876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8464826" y="2484782"/>
            <a:ext cx="1514686" cy="4296375"/>
          </a:xfrm>
          <a:prstGeom prst="rect">
            <a:avLst/>
          </a:prstGeom>
        </xdr:spPr>
      </xdr:pic>
      <xdr:sp macro="" textlink="">
        <xdr:nvSpPr>
          <xdr:cNvPr id="15" name="Elipse 14">
            <a:extLst>
              <a:ext uri="{FF2B5EF4-FFF2-40B4-BE49-F238E27FC236}">
                <a16:creationId xmlns:a16="http://schemas.microsoft.com/office/drawing/2014/main" id="{151C7268-DD71-DE1F-5EDB-2F889A2AD77E}"/>
              </a:ext>
            </a:extLst>
          </xdr:cNvPr>
          <xdr:cNvSpPr/>
        </xdr:nvSpPr>
        <xdr:spPr>
          <a:xfrm>
            <a:off x="8473110" y="6278217"/>
            <a:ext cx="1018761" cy="240196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419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59121</xdr:colOff>
      <xdr:row>0</xdr:row>
      <xdr:rowOff>45982</xdr:rowOff>
    </xdr:from>
    <xdr:to>
      <xdr:col>5</xdr:col>
      <xdr:colOff>755431</xdr:colOff>
      <xdr:row>2</xdr:row>
      <xdr:rowOff>45983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5A9FFAE0-F398-9FD3-4F95-96091AB86F59}"/>
            </a:ext>
          </a:extLst>
        </xdr:cNvPr>
        <xdr:cNvGrpSpPr/>
      </xdr:nvGrpSpPr>
      <xdr:grpSpPr>
        <a:xfrm>
          <a:off x="222407" y="45982"/>
          <a:ext cx="4206953" cy="381001"/>
          <a:chOff x="203638" y="85396"/>
          <a:chExt cx="3744310" cy="381001"/>
        </a:xfrm>
      </xdr:grpSpPr>
      <xdr:grpSp>
        <xdr:nvGrpSpPr>
          <xdr:cNvPr id="7" name="Grupo 6">
            <a:extLst>
              <a:ext uri="{FF2B5EF4-FFF2-40B4-BE49-F238E27FC236}">
                <a16:creationId xmlns:a16="http://schemas.microsoft.com/office/drawing/2014/main" id="{E71B4FE6-D33D-E0F2-5D17-61BDD5BDA5AE}"/>
              </a:ext>
            </a:extLst>
          </xdr:cNvPr>
          <xdr:cNvGrpSpPr/>
        </xdr:nvGrpSpPr>
        <xdr:grpSpPr>
          <a:xfrm>
            <a:off x="203638" y="85396"/>
            <a:ext cx="3744310" cy="381001"/>
            <a:chOff x="197069" y="0"/>
            <a:chExt cx="3744310" cy="381001"/>
          </a:xfrm>
        </xdr:grpSpPr>
        <xdr:grpSp>
          <xdr:nvGrpSpPr>
            <xdr:cNvPr id="4" name="Grupo 3">
              <a:extLst>
                <a:ext uri="{FF2B5EF4-FFF2-40B4-BE49-F238E27FC236}">
                  <a16:creationId xmlns:a16="http://schemas.microsoft.com/office/drawing/2014/main" id="{D45A74DF-60F7-A054-704E-8D223BCCD03D}"/>
                </a:ext>
              </a:extLst>
            </xdr:cNvPr>
            <xdr:cNvGrpSpPr/>
          </xdr:nvGrpSpPr>
          <xdr:grpSpPr>
            <a:xfrm>
              <a:off x="197069" y="13137"/>
              <a:ext cx="3744310" cy="361294"/>
              <a:chOff x="210207" y="91965"/>
              <a:chExt cx="3744310" cy="361294"/>
            </a:xfrm>
          </xdr:grpSpPr>
          <xdr:sp macro="" textlink="">
            <xdr:nvSpPr>
              <xdr:cNvPr id="2" name="Rectángulo: esquinas redondeadas 1">
                <a:extLst>
                  <a:ext uri="{FF2B5EF4-FFF2-40B4-BE49-F238E27FC236}">
                    <a16:creationId xmlns:a16="http://schemas.microsoft.com/office/drawing/2014/main" id="{497E5149-CAB5-81AD-ACA9-4716D78EAD79}"/>
                  </a:ext>
                </a:extLst>
              </xdr:cNvPr>
              <xdr:cNvSpPr/>
            </xdr:nvSpPr>
            <xdr:spPr>
              <a:xfrm>
                <a:off x="210207" y="91965"/>
                <a:ext cx="3744310" cy="361294"/>
              </a:xfrm>
              <a:prstGeom prst="roundRect">
                <a:avLst>
                  <a:gd name="adj" fmla="val 50000"/>
                </a:avLst>
              </a:prstGeom>
              <a:solidFill>
                <a:schemeClr val="bg1"/>
              </a:solidFill>
              <a:ln>
                <a:solidFill>
                  <a:srgbClr val="C00000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419" sz="1100"/>
              </a:p>
            </xdr:txBody>
          </xdr:sp>
          <xdr:sp macro="" textlink="">
            <xdr:nvSpPr>
              <xdr:cNvPr id="3" name="Diagrama de flujo: retraso 2">
                <a:extLst>
                  <a:ext uri="{FF2B5EF4-FFF2-40B4-BE49-F238E27FC236}">
                    <a16:creationId xmlns:a16="http://schemas.microsoft.com/office/drawing/2014/main" id="{FF6DAAB8-ADDE-76D2-1B9C-4168C4465D08}"/>
                  </a:ext>
                </a:extLst>
              </xdr:cNvPr>
              <xdr:cNvSpPr/>
            </xdr:nvSpPr>
            <xdr:spPr>
              <a:xfrm flipH="1">
                <a:off x="249618" y="131378"/>
                <a:ext cx="446691" cy="289035"/>
              </a:xfrm>
              <a:prstGeom prst="flowChartDelay">
                <a:avLst/>
              </a:prstGeom>
              <a:solidFill>
                <a:srgbClr val="C00000"/>
              </a:solidFill>
              <a:ln>
                <a:solidFill>
                  <a:srgbClr val="C00000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419" sz="1100"/>
              </a:p>
            </xdr:txBody>
          </xdr:sp>
        </xdr:grpSp>
        <xdr:pic>
          <xdr:nvPicPr>
            <xdr:cNvPr id="6" name="Gráfico 5" descr="3D glasses con relleno sólido">
              <a:extLst>
                <a:ext uri="{FF2B5EF4-FFF2-40B4-BE49-F238E27FC236}">
                  <a16:creationId xmlns:a16="http://schemas.microsoft.com/office/drawing/2014/main" id="{AB0E89FC-7854-496B-BE10-8D070615743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295602" y="0"/>
              <a:ext cx="381001" cy="381001"/>
            </a:xfrm>
            <a:prstGeom prst="rect">
              <a:avLst/>
            </a:prstGeom>
          </xdr:spPr>
        </xdr:pic>
      </xdr:grp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3" name="TextBox1" hidden="1">
                <a:extLst>
                  <a:ext uri="{63B3BB69-23CF-44E3-9099-C40C66FF867C}">
                    <a14:compatExt spid="_x0000_s8193"/>
                  </a:ext>
                  <a:ext uri="{FF2B5EF4-FFF2-40B4-BE49-F238E27FC236}">
                    <a16:creationId xmlns:a16="http://schemas.microsoft.com/office/drawing/2014/main" id="{00000000-0008-0000-0700-000001200000}"/>
                  </a:ext>
                </a:extLst>
              </xdr:cNvPr>
              <xdr:cNvSpPr/>
            </xdr:nvSpPr>
            <xdr:spPr bwMode="auto">
              <a:xfrm>
                <a:off x="792874" y="141992"/>
                <a:ext cx="2933700" cy="278421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8282</xdr:rowOff>
    </xdr:from>
    <xdr:to>
      <xdr:col>6</xdr:col>
      <xdr:colOff>57978</xdr:colOff>
      <xdr:row>2</xdr:row>
      <xdr:rowOff>82826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98579DE5-8FF1-287E-7348-E08ECBF42C21}"/>
            </a:ext>
          </a:extLst>
        </xdr:cNvPr>
        <xdr:cNvGrpSpPr/>
      </xdr:nvGrpSpPr>
      <xdr:grpSpPr>
        <a:xfrm>
          <a:off x="0" y="8282"/>
          <a:ext cx="4619952" cy="458886"/>
          <a:chOff x="2534477" y="720586"/>
          <a:chExt cx="5507935" cy="1002196"/>
        </a:xfrm>
      </xdr:grpSpPr>
      <xdr:grpSp>
        <xdr:nvGrpSpPr>
          <xdr:cNvPr id="8" name="Grupo 7">
            <a:extLst>
              <a:ext uri="{FF2B5EF4-FFF2-40B4-BE49-F238E27FC236}">
                <a16:creationId xmlns:a16="http://schemas.microsoft.com/office/drawing/2014/main" id="{6B19F77D-69B0-DE42-8CDF-D0D144988E8D}"/>
              </a:ext>
            </a:extLst>
          </xdr:cNvPr>
          <xdr:cNvGrpSpPr/>
        </xdr:nvGrpSpPr>
        <xdr:grpSpPr>
          <a:xfrm>
            <a:off x="2534477" y="720586"/>
            <a:ext cx="5507935" cy="1002196"/>
            <a:chOff x="24847" y="198782"/>
            <a:chExt cx="5507935" cy="1002196"/>
          </a:xfrm>
        </xdr:grpSpPr>
        <xdr:sp macro="" textlink="">
          <xdr:nvSpPr>
            <xdr:cNvPr id="4" name="Rectángulo: esquinas redondeadas 3">
              <a:extLst>
                <a:ext uri="{FF2B5EF4-FFF2-40B4-BE49-F238E27FC236}">
                  <a16:creationId xmlns:a16="http://schemas.microsoft.com/office/drawing/2014/main" id="{CFBE763E-B717-0BF9-1315-A9CDB5438B04}"/>
                </a:ext>
              </a:extLst>
            </xdr:cNvPr>
            <xdr:cNvSpPr/>
          </xdr:nvSpPr>
          <xdr:spPr>
            <a:xfrm>
              <a:off x="24847" y="198782"/>
              <a:ext cx="5507935" cy="1002196"/>
            </a:xfrm>
            <a:prstGeom prst="roundRect">
              <a:avLst>
                <a:gd name="adj" fmla="val 50000"/>
              </a:avLst>
            </a:prstGeom>
          </xdr:spPr>
          <xdr:style>
            <a:lnRef idx="2">
              <a:schemeClr val="accent3">
                <a:shade val="15000"/>
              </a:schemeClr>
            </a:lnRef>
            <a:fillRef idx="1">
              <a:schemeClr val="accent3"/>
            </a:fillRef>
            <a:effectRef idx="0">
              <a:schemeClr val="accent3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419" sz="1100"/>
            </a:p>
          </xdr:txBody>
        </xdr:sp>
        <xdr:sp macro="" textlink="">
          <xdr:nvSpPr>
            <xdr:cNvPr id="5" name="Diagrama de flujo: retraso 4">
              <a:extLst>
                <a:ext uri="{FF2B5EF4-FFF2-40B4-BE49-F238E27FC236}">
                  <a16:creationId xmlns:a16="http://schemas.microsoft.com/office/drawing/2014/main" id="{CB552CDE-B169-3F8F-EDEC-FCBD61BA52A0}"/>
                </a:ext>
              </a:extLst>
            </xdr:cNvPr>
            <xdr:cNvSpPr/>
          </xdr:nvSpPr>
          <xdr:spPr>
            <a:xfrm rot="10800000">
              <a:off x="132518" y="298175"/>
              <a:ext cx="911089" cy="803412"/>
            </a:xfrm>
            <a:prstGeom prst="flowChartDelay">
              <a:avLst/>
            </a:prstGeom>
            <a:solidFill>
              <a:schemeClr val="accent3">
                <a:lumMod val="60000"/>
                <a:lumOff val="40000"/>
              </a:schemeClr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419" sz="1100"/>
            </a:p>
          </xdr:txBody>
        </xdr:sp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3313" name="TextBox1" hidden="1">
                  <a:extLst>
                    <a:ext uri="{63B3BB69-23CF-44E3-9099-C40C66FF867C}">
                      <a14:compatExt spid="_x0000_s13313"/>
                    </a:ext>
                    <a:ext uri="{FF2B5EF4-FFF2-40B4-BE49-F238E27FC236}">
                      <a16:creationId xmlns:a16="http://schemas.microsoft.com/office/drawing/2014/main" id="{00000000-0008-0000-0800-000001340000}"/>
                    </a:ext>
                  </a:extLst>
                </xdr:cNvPr>
                <xdr:cNvSpPr/>
              </xdr:nvSpPr>
              <xdr:spPr bwMode="auto">
                <a:xfrm>
                  <a:off x="1204705" y="379340"/>
                  <a:ext cx="3864251" cy="6381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</xdr:grpSp>
      <xdr:pic>
        <xdr:nvPicPr>
          <xdr:cNvPr id="7" name="Gráfico 6" descr="Bug under magnifying glass contorno">
            <a:extLst>
              <a:ext uri="{FF2B5EF4-FFF2-40B4-BE49-F238E27FC236}">
                <a16:creationId xmlns:a16="http://schemas.microsoft.com/office/drawing/2014/main" id="{EFF61770-BC19-B26D-0579-14AFF57C73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2824370" y="911087"/>
            <a:ext cx="641074" cy="641074"/>
          </a:xfrm>
          <a:prstGeom prst="rect">
            <a:avLst/>
          </a:prstGeom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16E9F07-B392-4937-97BE-2E6D3EC6BB1C}" name="OPCIONES" displayName="OPCIONES" ref="P3:P6" totalsRowShown="0">
  <autoFilter ref="P3:P6" xr:uid="{D16E9F07-B392-4937-97BE-2E6D3EC6BB1C}"/>
  <tableColumns count="1">
    <tableColumn id="1" xr3:uid="{5B3237DB-5412-4DC0-8443-7721A15C0C3B}" name="OPCIONES ACTUALIZABLE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387CA5A-CC87-4ACF-9311-924E8D6640C4}" name="EJEMPLO" displayName="EJEMPLO" ref="K3:L6" totalsRowShown="0">
  <autoFilter ref="K3:L6" xr:uid="{6387CA5A-CC87-4ACF-9311-924E8D6640C4}"/>
  <tableColumns count="2">
    <tableColumn id="1" xr3:uid="{14ACFD98-B8E4-4A12-B44A-B7AEB1640E90}" name="LISTA FIJA"/>
    <tableColumn id="2" xr3:uid="{0A7F6193-4028-458D-BCFF-4C0F357283E4}" name="LISTA ACTUALIZABLE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5B6070-8D49-498A-BADE-4866E6F9CABE}" name="PRODUCTOS" displayName="PRODUCTOS" ref="A5:E19" totalsRowShown="0" headerRowDxfId="60" dataDxfId="58" headerRowBorderDxfId="59" tableBorderDxfId="57">
  <autoFilter ref="A5:E19" xr:uid="{CA5B6070-8D49-498A-BADE-4866E6F9CABE}"/>
  <tableColumns count="5">
    <tableColumn id="1" xr3:uid="{45485982-49C7-4473-A688-85D99E394672}" name="COD" dataDxfId="56"/>
    <tableColumn id="2" xr3:uid="{343E6163-FA73-4F42-9F5F-F9625EA0168B}" name="ARTICULO" dataDxfId="55"/>
    <tableColumn id="3" xr3:uid="{19B5D057-7C99-47C4-9932-7BE04685BBF4}" name="ENTRADAS" dataDxfId="54">
      <calculatedColumnFormula>SUMIF(ENTRADAS[COD],PRODUCTOS[[#This Row],[COD]],ENTRADAS[CANT])</calculatedColumnFormula>
    </tableColumn>
    <tableColumn id="4" xr3:uid="{1E6B4109-7DAD-4209-86AF-A321D80F8700}" name="SALIDAS" dataDxfId="53">
      <calculatedColumnFormula>SUMIF(SALIDAS[COD],PRODUCTOS[[#This Row],[COD]],SALIDAS[CANT])</calculatedColumnFormula>
    </tableColumn>
    <tableColumn id="5" xr3:uid="{FD30B214-432D-4C00-80D5-B7F43A939B0A}" name="STOCK" dataDxfId="52">
      <calculatedColumnFormula>PRODUCTOS[[#This Row],[ENTRADAS]]-PRODUCTOS[[#This Row],[SALIDAS]]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76EF94-66F2-4F7E-AC7C-32579F6D8305}" name="ENTRADAS" displayName="ENTRADAS" ref="G5:J16" totalsRowShown="0" headerRowDxfId="51" dataDxfId="49" headerRowBorderDxfId="50" tableBorderDxfId="48">
  <autoFilter ref="G5:J16" xr:uid="{6376EF94-66F2-4F7E-AC7C-32579F6D8305}"/>
  <tableColumns count="4">
    <tableColumn id="1" xr3:uid="{7C1227EA-FB27-415C-B7DE-C6CD60E4C8B7}" name="COD" dataDxfId="47"/>
    <tableColumn id="2" xr3:uid="{C5CDCFCA-7376-4FB3-BD3A-03550E8783F3}" name="ARTICULO" dataDxfId="46">
      <calculatedColumnFormula>IFERROR(VLOOKUP(ENTRADAS[[#This Row],[COD]],PRODUCTOS[],2,FALSE),"No existe")</calculatedColumnFormula>
    </tableColumn>
    <tableColumn id="3" xr3:uid="{4DC41910-F049-4368-8DB4-4084C53F7581}" name="FECHA" dataDxfId="45"/>
    <tableColumn id="4" xr3:uid="{0287BD89-22E1-4249-88AA-C576A34542BF}" name="CANT" dataDxfId="44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D310739-D7E6-4B7B-8E87-83F561B07D3E}" name="SALIDAS" displayName="SALIDAS" ref="L5:O15" totalsRowShown="0" headerRowDxfId="43" dataDxfId="41" headerRowBorderDxfId="42" tableBorderDxfId="40">
  <autoFilter ref="L5:O15" xr:uid="{CD310739-D7E6-4B7B-8E87-83F561B07D3E}"/>
  <tableColumns count="4">
    <tableColumn id="1" xr3:uid="{DEE85296-0E17-450B-8E60-619AC41F1ECF}" name="COD" dataDxfId="39"/>
    <tableColumn id="2" xr3:uid="{9A3010F9-02AD-42F5-AE38-B46333D51852}" name="ARTICULO" dataDxfId="38">
      <calculatedColumnFormula>IFERROR(VLOOKUP(SALIDAS[[#This Row],[COD]],PRODUCTOS[],2,FALSE),"No Existe")</calculatedColumnFormula>
    </tableColumn>
    <tableColumn id="3" xr3:uid="{52361A2C-65B6-49FB-8505-4EC1050C1747}" name="FECHA" dataDxfId="37"/>
    <tableColumn id="4" xr3:uid="{FA9B25FB-0FDE-4BC1-8D84-920548D5169B}" name="CANT" dataDxfId="36"/>
  </tableColumns>
  <tableStyleInfo name="TableStyleMedium1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368DF4D-60A4-4E2C-9BB4-80AE2963F772}" name="PRODUCTOS7" displayName="PRODUCTOS7" ref="A3:E13" totalsRowShown="0" headerRowDxfId="35" dataDxfId="33" headerRowBorderDxfId="34" tableBorderDxfId="32">
  <autoFilter ref="A3:E13" xr:uid="{9368DF4D-60A4-4E2C-9BB4-80AE2963F772}"/>
  <tableColumns count="5">
    <tableColumn id="1" xr3:uid="{5FA5897D-D0CD-4452-8AE7-6371FF71123F}" name="COD" dataDxfId="31"/>
    <tableColumn id="2" xr3:uid="{300B50B2-3DA6-4E31-AD79-E7793E6225DD}" name="ARTICULO" dataDxfId="30"/>
    <tableColumn id="3" xr3:uid="{18ED6989-C27F-4F21-9E76-A44A7B2C7719}" name="ENTRADAS" dataDxfId="29">
      <calculatedColumnFormula>SUMIF(ENTRADAS[COD],PRODUCTOS7[[#This Row],[COD]],ENTRADAS[CANT])</calculatedColumnFormula>
    </tableColumn>
    <tableColumn id="4" xr3:uid="{A04FFBAC-E68D-4A1A-A264-4AF2FD25C876}" name="SALIDAS" dataDxfId="28">
      <calculatedColumnFormula>SUMIF(SALIDAS[COD],PRODUCTOS7[[#This Row],[COD]],SALIDAS[CANT])</calculatedColumnFormula>
    </tableColumn>
    <tableColumn id="5" xr3:uid="{C260BC9C-A9C8-48BD-9FBF-8225A954EC5A}" name="STOCK" dataDxfId="27">
      <calculatedColumnFormula>PRODUCTOS7[[#This Row],[ENTRADAS]]-PRODUCTOS7[[#This Row],[SALIDAS]]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288508E-3E0A-4CE3-B935-FF94BF076C72}" name="PRODUCTOS78" displayName="PRODUCTOS78" ref="C2:G12" totalsRowShown="0" headerRowDxfId="26" dataDxfId="24" headerRowBorderDxfId="25" tableBorderDxfId="23">
  <autoFilter ref="C2:G12" xr:uid="{F288508E-3E0A-4CE3-B935-FF94BF076C72}"/>
  <tableColumns count="5">
    <tableColumn id="1" xr3:uid="{6F1AB696-CBAA-4D13-AD9B-FC182372FAA9}" name="COD" dataDxfId="22"/>
    <tableColumn id="2" xr3:uid="{99CC86D0-B9BF-43C8-8DD9-6080B82580FD}" name="ARTICULO" dataDxfId="21"/>
    <tableColumn id="3" xr3:uid="{78CDC8A8-DB19-4CD6-BE7D-C58DB91416CD}" name="ENTRADAS" dataDxfId="20">
      <calculatedColumnFormula>SUMIF(ENTRADAS[COD],PRODUCTOS78[[#This Row],[COD]],ENTRADAS[CANT])</calculatedColumnFormula>
    </tableColumn>
    <tableColumn id="4" xr3:uid="{01BD439F-F75E-4C2E-B240-1D059BEF2908}" name="SALIDAS" dataDxfId="19">
      <calculatedColumnFormula>SUMIF(SALIDAS[COD],PRODUCTOS78[[#This Row],[COD]],SALIDAS[CANT])</calculatedColumnFormula>
    </tableColumn>
    <tableColumn id="5" xr3:uid="{511ACAB4-B0FF-45D2-A159-371CDF65FBF0}" name="STOCK" dataDxfId="18">
      <calculatedColumnFormula>PRODUCTOS78[[#This Row],[ENTRADAS]]-PRODUCTOS78[[#This Row],[SALIDAS]]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5AD4F8D-CB67-4AD8-A3A7-299A7F407629}" name="TABLA1" displayName="TABLA1" ref="A18:E28" totalsRowShown="0" headerRowDxfId="17" dataDxfId="15" headerRowBorderDxfId="16" tableBorderDxfId="14">
  <autoFilter ref="A18:E28" xr:uid="{D5AD4F8D-CB67-4AD8-A3A7-299A7F407629}"/>
  <tableColumns count="5">
    <tableColumn id="1" xr3:uid="{765DDB47-77AB-4F6F-B70A-341DB6D577AC}" name="COD" dataDxfId="13"/>
    <tableColumn id="2" xr3:uid="{00F24868-3270-42EC-855F-91C5436178A7}" name="ARTICULO" dataDxfId="12"/>
    <tableColumn id="3" xr3:uid="{8DF391FA-47EA-4079-83E7-6BFE811DD9B7}" name="ENTRADAS" dataDxfId="11">
      <calculatedColumnFormula>SUMIF(ENTRADAS[COD],TABLA1[[#This Row],[COD]],ENTRADAS[CANT])</calculatedColumnFormula>
    </tableColumn>
    <tableColumn id="4" xr3:uid="{AB10D5D0-DCAB-4548-B5F8-E78A796FEBEE}" name="SALIDAS" dataDxfId="10">
      <calculatedColumnFormula>SUMIF(SALIDAS[COD],TABLA1[[#This Row],[COD]],SALIDAS[CANT])</calculatedColumnFormula>
    </tableColumn>
    <tableColumn id="5" xr3:uid="{3D7B3C0D-73D2-4465-9704-DEE03CB5DBFF}" name="STOCK" dataDxfId="9">
      <calculatedColumnFormula>TABLA1[[#This Row],[ENTRADAS]]-TABLA1[[#This Row],[SALIDAS]]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A16BA0E-7133-48A3-8C82-3A1612E895AB}" name="TABLA2" displayName="TABLA2" ref="B4:F16" totalsRowShown="0" headerRowDxfId="8" dataDxfId="6" headerRowBorderDxfId="7" tableBorderDxfId="5">
  <autoFilter ref="B4:F16" xr:uid="{AA16BA0E-7133-48A3-8C82-3A1612E895AB}"/>
  <tableColumns count="5">
    <tableColumn id="1" xr3:uid="{B838A762-5A06-4686-BF76-7E011AADA853}" name="COD" dataDxfId="4"/>
    <tableColumn id="2" xr3:uid="{1B74B8E0-FB73-4393-8D1C-2DE1FFC0DF36}" name="ARTICULO" dataDxfId="3"/>
    <tableColumn id="3" xr3:uid="{0D8A6EC1-AACD-482A-8A04-67E6C16C21FA}" name="ENTRADAS" dataDxfId="2"/>
    <tableColumn id="4" xr3:uid="{D72BCA91-85D4-4E91-825B-C701B2485FB6}" name="SALIDAS" dataDxfId="1"/>
    <tableColumn id="5" xr3:uid="{BB5B80DA-BAD2-4273-AB0D-6AFD2EF586C1}" name="STOCK" dataDxfId="0">
      <calculatedColumnFormula>TABLA2[[#This Row],[ENTRADAS]]-TABLA2[[#This Row],[SALIDAS]]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hyperlink" Target="https://www.youtube.com/watch?v=gihQjybkxxE" TargetMode="External"/><Relationship Id="rId1" Type="http://schemas.openxmlformats.org/officeDocument/2006/relationships/hyperlink" Target="https://www.youtube.com/watch?v=gihQjybkxx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hyperlink" Target="https://www.youtube.com/watch?v=JQjxFpAk0YQ" TargetMode="External"/><Relationship Id="rId6" Type="http://schemas.openxmlformats.org/officeDocument/2006/relationships/table" Target="../tables/table8.xml"/><Relationship Id="rId5" Type="http://schemas.openxmlformats.org/officeDocument/2006/relationships/image" Target="../media/image6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hyperlink" Target="https://www.youtube.com/watch?v=JQjxFpAk0YQ" TargetMode="External"/><Relationship Id="rId6" Type="http://schemas.openxmlformats.org/officeDocument/2006/relationships/table" Target="../tables/table9.xml"/><Relationship Id="rId5" Type="http://schemas.openxmlformats.org/officeDocument/2006/relationships/image" Target="../media/image13.emf"/><Relationship Id="rId4" Type="http://schemas.openxmlformats.org/officeDocument/2006/relationships/control" Target="../activeX/activeX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4" Type="http://schemas.openxmlformats.org/officeDocument/2006/relationships/image" Target="../media/image16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1"/>
  <dimension ref="A1:E16"/>
  <sheetViews>
    <sheetView zoomScale="160" zoomScaleNormal="160" workbookViewId="0">
      <selection activeCell="E12" sqref="E12"/>
    </sheetView>
  </sheetViews>
  <sheetFormatPr baseColWidth="10" defaultColWidth="8.85546875" defaultRowHeight="15" x14ac:dyDescent="0.25"/>
  <cols>
    <col min="1" max="1" width="74.85546875" bestFit="1" customWidth="1"/>
    <col min="2" max="2" width="1.7109375" customWidth="1"/>
    <col min="3" max="4" width="1.5703125" customWidth="1"/>
    <col min="5" max="5" width="90.7109375" bestFit="1" customWidth="1"/>
  </cols>
  <sheetData>
    <row r="1" spans="1:5" ht="9.6" customHeight="1" x14ac:dyDescent="0.25">
      <c r="C1" s="6"/>
    </row>
    <row r="2" spans="1:5" ht="18.75" x14ac:dyDescent="0.3">
      <c r="A2" s="5" t="s">
        <v>31</v>
      </c>
      <c r="C2" s="6"/>
      <c r="E2" s="5" t="s">
        <v>32</v>
      </c>
    </row>
    <row r="3" spans="1:5" x14ac:dyDescent="0.25">
      <c r="C3" s="6"/>
    </row>
    <row r="4" spans="1:5" x14ac:dyDescent="0.25">
      <c r="A4" s="1" t="s">
        <v>28</v>
      </c>
      <c r="C4" s="6"/>
      <c r="E4" s="4" t="s">
        <v>34</v>
      </c>
    </row>
    <row r="5" spans="1:5" x14ac:dyDescent="0.25">
      <c r="C5" s="6"/>
      <c r="E5" t="s">
        <v>35</v>
      </c>
    </row>
    <row r="6" spans="1:5" x14ac:dyDescent="0.25">
      <c r="A6" s="4" t="s">
        <v>41</v>
      </c>
      <c r="C6" s="6"/>
    </row>
    <row r="7" spans="1:5" x14ac:dyDescent="0.25">
      <c r="A7" t="s">
        <v>46</v>
      </c>
      <c r="C7" s="6"/>
      <c r="E7" s="4" t="s">
        <v>30</v>
      </c>
    </row>
    <row r="8" spans="1:5" ht="30" x14ac:dyDescent="0.25">
      <c r="A8" s="12" t="s">
        <v>64</v>
      </c>
      <c r="C8" s="6"/>
      <c r="E8" s="3" t="s">
        <v>36</v>
      </c>
    </row>
    <row r="9" spans="1:5" ht="15.75" x14ac:dyDescent="0.25">
      <c r="C9" s="6"/>
      <c r="E9" s="12" t="s">
        <v>66</v>
      </c>
    </row>
    <row r="10" spans="1:5" x14ac:dyDescent="0.25">
      <c r="A10" s="4" t="s">
        <v>44</v>
      </c>
      <c r="C10" s="6"/>
    </row>
    <row r="11" spans="1:5" x14ac:dyDescent="0.25">
      <c r="A11" t="s">
        <v>45</v>
      </c>
      <c r="C11" s="6"/>
    </row>
    <row r="12" spans="1:5" ht="15.75" x14ac:dyDescent="0.25">
      <c r="A12" s="12" t="s">
        <v>65</v>
      </c>
      <c r="C12" s="6"/>
    </row>
    <row r="13" spans="1:5" x14ac:dyDescent="0.25">
      <c r="C13" s="6"/>
    </row>
    <row r="14" spans="1:5" x14ac:dyDescent="0.25">
      <c r="A14" s="6"/>
      <c r="B14" s="6"/>
      <c r="C14" s="6"/>
      <c r="D14" s="6"/>
      <c r="E14" s="6"/>
    </row>
    <row r="16" spans="1:5" ht="15.75" x14ac:dyDescent="0.25">
      <c r="A1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P46"/>
  <sheetViews>
    <sheetView topLeftCell="F1" zoomScale="160" zoomScaleNormal="160" workbookViewId="0">
      <selection activeCell="L10" sqref="L10"/>
    </sheetView>
  </sheetViews>
  <sheetFormatPr baseColWidth="10" defaultColWidth="8.85546875" defaultRowHeight="15" x14ac:dyDescent="0.25"/>
  <cols>
    <col min="1" max="1" width="3.42578125" customWidth="1"/>
    <col min="2" max="2" width="47" bestFit="1" customWidth="1"/>
    <col min="8" max="10" width="2" customWidth="1"/>
    <col min="11" max="11" width="14.42578125" bestFit="1" customWidth="1"/>
    <col min="12" max="12" width="21.85546875" bestFit="1" customWidth="1"/>
    <col min="13" max="13" width="6.7109375" customWidth="1"/>
    <col min="14" max="14" width="14.42578125" bestFit="1" customWidth="1"/>
    <col min="15" max="15" width="3.28515625" customWidth="1"/>
    <col min="16" max="16" width="26.5703125" customWidth="1"/>
  </cols>
  <sheetData>
    <row r="1" spans="2:16" x14ac:dyDescent="0.25">
      <c r="I1" s="6"/>
    </row>
    <row r="2" spans="2:16" ht="18.75" x14ac:dyDescent="0.3">
      <c r="B2" s="2" t="s">
        <v>61</v>
      </c>
      <c r="I2" s="6"/>
    </row>
    <row r="3" spans="2:16" x14ac:dyDescent="0.25">
      <c r="I3" s="6"/>
      <c r="K3" t="s">
        <v>58</v>
      </c>
      <c r="L3" t="s">
        <v>59</v>
      </c>
      <c r="N3" s="7" t="s">
        <v>52</v>
      </c>
      <c r="P3" t="s">
        <v>53</v>
      </c>
    </row>
    <row r="4" spans="2:16" x14ac:dyDescent="0.25">
      <c r="I4" s="6"/>
      <c r="K4" t="s">
        <v>49</v>
      </c>
      <c r="L4" t="s">
        <v>54</v>
      </c>
      <c r="N4" s="7" t="s">
        <v>49</v>
      </c>
      <c r="P4" t="s">
        <v>54</v>
      </c>
    </row>
    <row r="5" spans="2:16" x14ac:dyDescent="0.25">
      <c r="I5" s="6"/>
      <c r="K5" t="s">
        <v>50</v>
      </c>
      <c r="L5" t="s">
        <v>55</v>
      </c>
      <c r="N5" s="7" t="s">
        <v>50</v>
      </c>
      <c r="P5" t="s">
        <v>55</v>
      </c>
    </row>
    <row r="6" spans="2:16" x14ac:dyDescent="0.25">
      <c r="I6" s="6"/>
      <c r="K6" t="s">
        <v>51</v>
      </c>
      <c r="L6" t="s">
        <v>57</v>
      </c>
      <c r="N6" s="7" t="s">
        <v>51</v>
      </c>
      <c r="P6" t="s">
        <v>57</v>
      </c>
    </row>
    <row r="7" spans="2:16" x14ac:dyDescent="0.25">
      <c r="I7" s="6"/>
      <c r="N7" t="s">
        <v>56</v>
      </c>
    </row>
    <row r="8" spans="2:16" x14ac:dyDescent="0.25">
      <c r="I8" s="6"/>
    </row>
    <row r="9" spans="2:16" x14ac:dyDescent="0.25">
      <c r="I9" s="6"/>
    </row>
    <row r="10" spans="2:16" x14ac:dyDescent="0.25">
      <c r="I10" s="6"/>
    </row>
    <row r="11" spans="2:16" x14ac:dyDescent="0.25">
      <c r="I11" s="6"/>
    </row>
    <row r="12" spans="2:16" x14ac:dyDescent="0.25">
      <c r="I12" s="6"/>
    </row>
    <row r="13" spans="2:16" x14ac:dyDescent="0.25">
      <c r="I13" s="6"/>
    </row>
    <row r="14" spans="2:16" ht="18.75" x14ac:dyDescent="0.3">
      <c r="B14" s="2" t="s">
        <v>62</v>
      </c>
      <c r="I14" s="6"/>
    </row>
    <row r="15" spans="2:16" x14ac:dyDescent="0.25">
      <c r="I15" s="6"/>
    </row>
    <row r="16" spans="2:16" x14ac:dyDescent="0.25">
      <c r="I16" s="6"/>
    </row>
    <row r="17" spans="2:9" x14ac:dyDescent="0.25">
      <c r="I17" s="6"/>
    </row>
    <row r="18" spans="2:9" x14ac:dyDescent="0.25">
      <c r="I18" s="6"/>
    </row>
    <row r="19" spans="2:9" x14ac:dyDescent="0.25">
      <c r="I19" s="6"/>
    </row>
    <row r="20" spans="2:9" x14ac:dyDescent="0.25">
      <c r="I20" s="6"/>
    </row>
    <row r="21" spans="2:9" x14ac:dyDescent="0.25">
      <c r="I21" s="6"/>
    </row>
    <row r="22" spans="2:9" x14ac:dyDescent="0.25">
      <c r="I22" s="6"/>
    </row>
    <row r="23" spans="2:9" x14ac:dyDescent="0.25">
      <c r="I23" s="6"/>
    </row>
    <row r="24" spans="2:9" x14ac:dyDescent="0.25">
      <c r="I24" s="6"/>
    </row>
    <row r="25" spans="2:9" x14ac:dyDescent="0.25">
      <c r="I25" s="6"/>
    </row>
    <row r="26" spans="2:9" ht="18.75" x14ac:dyDescent="0.3">
      <c r="B26" s="2" t="s">
        <v>60</v>
      </c>
      <c r="I26" s="6"/>
    </row>
    <row r="27" spans="2:9" x14ac:dyDescent="0.25">
      <c r="I27" s="6"/>
    </row>
    <row r="28" spans="2:9" x14ac:dyDescent="0.25">
      <c r="I28" s="6"/>
    </row>
    <row r="29" spans="2:9" x14ac:dyDescent="0.25">
      <c r="I29" s="6"/>
    </row>
    <row r="30" spans="2:9" x14ac:dyDescent="0.25">
      <c r="I30" s="6"/>
    </row>
    <row r="31" spans="2:9" x14ac:dyDescent="0.25">
      <c r="I31" s="6"/>
    </row>
    <row r="32" spans="2:9" x14ac:dyDescent="0.25">
      <c r="I32" s="6"/>
    </row>
    <row r="33" spans="2:16" x14ac:dyDescent="0.25">
      <c r="I33" s="6"/>
    </row>
    <row r="34" spans="2:16" x14ac:dyDescent="0.25">
      <c r="I34" s="6"/>
    </row>
    <row r="35" spans="2:16" x14ac:dyDescent="0.25">
      <c r="I35" s="6"/>
    </row>
    <row r="36" spans="2:16" x14ac:dyDescent="0.25">
      <c r="I36" s="6"/>
    </row>
    <row r="37" spans="2:16" x14ac:dyDescent="0.25">
      <c r="I37" s="6"/>
    </row>
    <row r="38" spans="2:16" x14ac:dyDescent="0.25">
      <c r="I38" s="6"/>
    </row>
    <row r="39" spans="2:16" x14ac:dyDescent="0.25">
      <c r="I39" s="6"/>
    </row>
    <row r="40" spans="2:16" x14ac:dyDescent="0.25">
      <c r="I40" s="6"/>
    </row>
    <row r="41" spans="2:16" x14ac:dyDescent="0.25">
      <c r="I41" s="6"/>
    </row>
    <row r="42" spans="2:16" x14ac:dyDescent="0.25">
      <c r="I42" s="6"/>
    </row>
    <row r="43" spans="2:16" x14ac:dyDescent="0.25">
      <c r="I43" s="6"/>
    </row>
    <row r="44" spans="2:16" x14ac:dyDescent="0.25">
      <c r="B44" s="11" t="s">
        <v>63</v>
      </c>
      <c r="I44" s="6"/>
    </row>
    <row r="45" spans="2:16" x14ac:dyDescent="0.25">
      <c r="I45" s="6"/>
    </row>
    <row r="46" spans="2:16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</sheetData>
  <dataValidations count="2">
    <dataValidation type="list" allowBlank="1" showInputMessage="1" showErrorMessage="1" sqref="K4:K6" xr:uid="{F74ADDAB-97DA-457A-B13F-D694FADBD21E}">
      <formula1>$N$4:$N$6</formula1>
    </dataValidation>
    <dataValidation type="list" allowBlank="1" showInputMessage="1" showErrorMessage="1" sqref="L4:L6" xr:uid="{6049797D-19CD-44F4-8F7F-B1EF82ED31C9}">
      <formula1>$P$4:$P$6</formula1>
    </dataValidation>
  </dataValidations>
  <pageMargins left="0.7" right="0.7" top="0.75" bottom="0.75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P34"/>
  <sheetViews>
    <sheetView zoomScale="115" zoomScaleNormal="115" workbookViewId="0">
      <selection activeCell="J6" sqref="J6"/>
    </sheetView>
  </sheetViews>
  <sheetFormatPr baseColWidth="10" defaultColWidth="8.85546875" defaultRowHeight="15" x14ac:dyDescent="0.25"/>
  <cols>
    <col min="1" max="1" width="7.140625" bestFit="1" customWidth="1"/>
    <col min="2" max="2" width="24.28515625" customWidth="1"/>
    <col min="3" max="3" width="18.5703125" bestFit="1" customWidth="1"/>
    <col min="4" max="4" width="10.5703125" bestFit="1" customWidth="1"/>
    <col min="5" max="5" width="9" bestFit="1" customWidth="1"/>
    <col min="6" max="6" width="21.85546875" bestFit="1" customWidth="1"/>
    <col min="7" max="7" width="15" customWidth="1"/>
    <col min="8" max="8" width="18.7109375" bestFit="1" customWidth="1"/>
    <col min="9" max="9" width="18.28515625" bestFit="1" customWidth="1"/>
    <col min="10" max="10" width="10.7109375" bestFit="1" customWidth="1"/>
    <col min="11" max="11" width="8.140625" bestFit="1" customWidth="1"/>
    <col min="12" max="12" width="10.140625" customWidth="1"/>
    <col min="13" max="13" width="7.140625" bestFit="1" customWidth="1"/>
    <col min="14" max="14" width="17.28515625" bestFit="1" customWidth="1"/>
    <col min="15" max="15" width="10.7109375" bestFit="1" customWidth="1"/>
    <col min="16" max="16" width="8.140625" bestFit="1" customWidth="1"/>
  </cols>
  <sheetData>
    <row r="1" spans="1:15" x14ac:dyDescent="0.25">
      <c r="B1" s="39" t="s">
        <v>108</v>
      </c>
      <c r="C1" s="44" t="s">
        <v>68</v>
      </c>
    </row>
    <row r="2" spans="1:15" x14ac:dyDescent="0.25">
      <c r="B2" s="43" t="s">
        <v>15</v>
      </c>
      <c r="C2" s="45" t="str">
        <f>_xlfn.XLOOKUP(B2,PRODUCTOS[ARTICULO],PRODUCTOS[COD],"Prod no encontrado")</f>
        <v>A003</v>
      </c>
    </row>
    <row r="3" spans="1:15" x14ac:dyDescent="0.25">
      <c r="C3" s="46"/>
    </row>
    <row r="4" spans="1:15" s="2" customFormat="1" ht="18.75" x14ac:dyDescent="0.3">
      <c r="A4" s="50" t="s">
        <v>27</v>
      </c>
      <c r="B4" s="50"/>
      <c r="C4" s="50"/>
      <c r="D4" s="50"/>
      <c r="E4" s="50"/>
      <c r="F4" s="47"/>
      <c r="G4" s="48" t="s">
        <v>42</v>
      </c>
      <c r="H4" s="48"/>
      <c r="I4" s="48"/>
      <c r="J4" s="48"/>
      <c r="L4" s="49" t="s">
        <v>43</v>
      </c>
      <c r="M4" s="49"/>
      <c r="N4" s="49"/>
      <c r="O4" s="49"/>
    </row>
    <row r="5" spans="1:15" s="9" customFormat="1" x14ac:dyDescent="0.25">
      <c r="A5" s="8" t="s">
        <v>38</v>
      </c>
      <c r="B5" s="8" t="s">
        <v>0</v>
      </c>
      <c r="C5" s="8" t="s">
        <v>1</v>
      </c>
      <c r="D5" s="8" t="s">
        <v>2</v>
      </c>
      <c r="E5" s="8" t="s">
        <v>3</v>
      </c>
      <c r="G5" s="8" t="s">
        <v>38</v>
      </c>
      <c r="H5" s="8" t="s">
        <v>0</v>
      </c>
      <c r="I5" s="8" t="s">
        <v>22</v>
      </c>
      <c r="J5" s="8" t="s">
        <v>40</v>
      </c>
      <c r="L5" s="8" t="s">
        <v>38</v>
      </c>
      <c r="M5" s="8" t="s">
        <v>0</v>
      </c>
      <c r="N5" s="8" t="s">
        <v>22</v>
      </c>
      <c r="O5" s="8" t="s">
        <v>40</v>
      </c>
    </row>
    <row r="6" spans="1:15" x14ac:dyDescent="0.25">
      <c r="A6" t="s">
        <v>4</v>
      </c>
      <c r="B6" t="s">
        <v>13</v>
      </c>
      <c r="C6">
        <f>SUMIF(ENTRADAS[COD],PRODUCTOS[[#This Row],[COD]],ENTRADAS[CANT])</f>
        <v>60</v>
      </c>
      <c r="D6">
        <f>SUMIF(SALIDAS[COD],PRODUCTOS[[#This Row],[COD]],SALIDAS[CANT])</f>
        <v>50</v>
      </c>
      <c r="E6">
        <f>PRODUCTOS[[#This Row],[ENTRADAS]]-PRODUCTOS[[#This Row],[SALIDAS]]</f>
        <v>10</v>
      </c>
      <c r="G6" t="s">
        <v>4</v>
      </c>
      <c r="H6" s="10" t="str">
        <f>IFERROR(VLOOKUP(ENTRADAS[[#This Row],[COD]],PRODUCTOS[],2,FALSE),"No existe")</f>
        <v>ESPONJAS</v>
      </c>
      <c r="I6" t="s">
        <v>23</v>
      </c>
      <c r="J6">
        <v>10</v>
      </c>
      <c r="L6" t="s">
        <v>6</v>
      </c>
      <c r="M6" t="str">
        <f>IFERROR(VLOOKUP(SALIDAS[[#This Row],[COD]],PRODUCTOS[],2,FALSE),"No Existe")</f>
        <v>DETERGENTE</v>
      </c>
      <c r="N6" t="s">
        <v>26</v>
      </c>
      <c r="O6">
        <v>10</v>
      </c>
    </row>
    <row r="7" spans="1:15" x14ac:dyDescent="0.25">
      <c r="A7" t="s">
        <v>5</v>
      </c>
      <c r="B7" t="s">
        <v>14</v>
      </c>
      <c r="C7">
        <f>SUMIF(ENTRADAS[COD],PRODUCTOS[[#This Row],[COD]],ENTRADAS[CANT])</f>
        <v>0</v>
      </c>
      <c r="D7">
        <f>SUMIF(SALIDAS[COD],PRODUCTOS[[#This Row],[COD]],SALIDAS[CANT])</f>
        <v>21</v>
      </c>
      <c r="E7">
        <f>PRODUCTOS[[#This Row],[ENTRADAS]]-PRODUCTOS[[#This Row],[SALIDAS]]</f>
        <v>-21</v>
      </c>
      <c r="G7" t="s">
        <v>4</v>
      </c>
      <c r="H7" t="str">
        <f>IFERROR(VLOOKUP(ENTRADAS[[#This Row],[COD]],PRODUCTOS[],2,FALSE),"No existe")</f>
        <v>ESPONJAS</v>
      </c>
      <c r="I7" t="s">
        <v>24</v>
      </c>
      <c r="J7">
        <v>10</v>
      </c>
      <c r="L7" t="s">
        <v>5</v>
      </c>
      <c r="M7" t="str">
        <f>IFERROR(VLOOKUP(SALIDAS[[#This Row],[COD]],PRODUCTOS[],2,FALSE),"No Existe")</f>
        <v>VINAGRE</v>
      </c>
      <c r="N7" t="s">
        <v>24</v>
      </c>
      <c r="O7">
        <v>15</v>
      </c>
    </row>
    <row r="8" spans="1:15" x14ac:dyDescent="0.25">
      <c r="A8" t="s">
        <v>6</v>
      </c>
      <c r="B8" t="s">
        <v>15</v>
      </c>
      <c r="C8">
        <f>SUMIF(ENTRADAS[COD],PRODUCTOS[[#This Row],[COD]],ENTRADAS[CANT])</f>
        <v>0</v>
      </c>
      <c r="D8">
        <f>SUMIF(SALIDAS[COD],PRODUCTOS[[#This Row],[COD]],SALIDAS[CANT])</f>
        <v>15</v>
      </c>
      <c r="E8">
        <f>PRODUCTOS[[#This Row],[ENTRADAS]]-PRODUCTOS[[#This Row],[SALIDAS]]</f>
        <v>-15</v>
      </c>
      <c r="G8" t="s">
        <v>4</v>
      </c>
      <c r="H8" t="str">
        <f>IFERROR(VLOOKUP(ENTRADAS[[#This Row],[COD]],PRODUCTOS[],2,FALSE),"No existe")</f>
        <v>ESPONJAS</v>
      </c>
      <c r="I8" t="s">
        <v>25</v>
      </c>
      <c r="J8">
        <v>30</v>
      </c>
      <c r="L8" t="s">
        <v>6</v>
      </c>
      <c r="M8" t="str">
        <f>IFERROR(VLOOKUP(SALIDAS[[#This Row],[COD]],PRODUCTOS[],2,FALSE),"No Existe")</f>
        <v>DETERGENTE</v>
      </c>
      <c r="N8" t="s">
        <v>25</v>
      </c>
      <c r="O8">
        <v>5</v>
      </c>
    </row>
    <row r="9" spans="1:15" x14ac:dyDescent="0.25">
      <c r="A9" t="s">
        <v>7</v>
      </c>
      <c r="B9" t="s">
        <v>16</v>
      </c>
      <c r="C9">
        <f>SUMIF(ENTRADAS[COD],PRODUCTOS[[#This Row],[COD]],ENTRADAS[CANT])</f>
        <v>20</v>
      </c>
      <c r="D9">
        <f>SUMIF(SALIDAS[COD],PRODUCTOS[[#This Row],[COD]],SALIDAS[CANT])</f>
        <v>13</v>
      </c>
      <c r="E9">
        <f>PRODUCTOS[[#This Row],[ENTRADAS]]-PRODUCTOS[[#This Row],[SALIDAS]]</f>
        <v>7</v>
      </c>
      <c r="G9" t="s">
        <v>7</v>
      </c>
      <c r="H9" t="str">
        <f>IFERROR(VLOOKUP(ENTRADAS[[#This Row],[COD]],PRODUCTOS[],2,FALSE),"No existe")</f>
        <v>LIMPIA VIDRIOS</v>
      </c>
      <c r="I9" t="s">
        <v>25</v>
      </c>
      <c r="J9">
        <v>20</v>
      </c>
      <c r="L9" t="s">
        <v>5</v>
      </c>
      <c r="M9" t="str">
        <f>IFERROR(VLOOKUP(SALIDAS[[#This Row],[COD]],PRODUCTOS[],2,FALSE),"No Existe")</f>
        <v>VINAGRE</v>
      </c>
      <c r="N9" t="s">
        <v>25</v>
      </c>
      <c r="O9">
        <v>6</v>
      </c>
    </row>
    <row r="10" spans="1:15" x14ac:dyDescent="0.25">
      <c r="A10" t="s">
        <v>8</v>
      </c>
      <c r="B10" t="s">
        <v>17</v>
      </c>
      <c r="C10">
        <f>SUMIF(ENTRADAS[COD],PRODUCTOS[[#This Row],[COD]],ENTRADAS[CANT])</f>
        <v>30</v>
      </c>
      <c r="D10">
        <f>SUMIF(SALIDAS[COD],PRODUCTOS[[#This Row],[COD]],SALIDAS[CANT])</f>
        <v>2</v>
      </c>
      <c r="E10">
        <f>PRODUCTOS[[#This Row],[ENTRADAS]]-PRODUCTOS[[#This Row],[SALIDAS]]</f>
        <v>28</v>
      </c>
      <c r="G10" t="s">
        <v>8</v>
      </c>
      <c r="H10" t="str">
        <f>IFERROR(VLOOKUP(ENTRADAS[[#This Row],[COD]],PRODUCTOS[],2,FALSE),"No existe")</f>
        <v>QUITAMANCHAS</v>
      </c>
      <c r="I10" t="s">
        <v>25</v>
      </c>
      <c r="J10">
        <v>30</v>
      </c>
      <c r="L10" t="s">
        <v>8</v>
      </c>
      <c r="M10" t="str">
        <f>IFERROR(VLOOKUP(SALIDAS[[#This Row],[COD]],PRODUCTOS[],2,FALSE),"No Existe")</f>
        <v>QUITAMANCHAS</v>
      </c>
      <c r="N10" t="s">
        <v>25</v>
      </c>
      <c r="O10">
        <v>2</v>
      </c>
    </row>
    <row r="11" spans="1:15" x14ac:dyDescent="0.25">
      <c r="A11" t="s">
        <v>9</v>
      </c>
      <c r="B11" t="s">
        <v>18</v>
      </c>
      <c r="C11">
        <f>SUMIF(ENTRADAS[COD],PRODUCTOS[[#This Row],[COD]],ENTRADAS[CANT])</f>
        <v>43</v>
      </c>
      <c r="D11">
        <f>SUMIF(SALIDAS[COD],PRODUCTOS[[#This Row],[COD]],SALIDAS[CANT])</f>
        <v>0</v>
      </c>
      <c r="E11">
        <f>PRODUCTOS[[#This Row],[ENTRADAS]]-PRODUCTOS[[#This Row],[SALIDAS]]</f>
        <v>43</v>
      </c>
      <c r="G11" t="s">
        <v>9</v>
      </c>
      <c r="H11" t="str">
        <f>IFERROR(VLOOKUP(ENTRADAS[[#This Row],[COD]],PRODUCTOS[],2,FALSE),"No existe")</f>
        <v>LUSTRAMUEBLES</v>
      </c>
      <c r="I11" t="s">
        <v>25</v>
      </c>
      <c r="J11">
        <v>43</v>
      </c>
      <c r="L11" t="s">
        <v>7</v>
      </c>
      <c r="M11" t="str">
        <f>IFERROR(VLOOKUP(SALIDAS[[#This Row],[COD]],PRODUCTOS[],2,FALSE),"No Existe")</f>
        <v>LIMPIA VIDRIOS</v>
      </c>
      <c r="N11" t="s">
        <v>25</v>
      </c>
      <c r="O11">
        <v>1</v>
      </c>
    </row>
    <row r="12" spans="1:15" x14ac:dyDescent="0.25">
      <c r="A12" t="s">
        <v>10</v>
      </c>
      <c r="B12" t="s">
        <v>19</v>
      </c>
      <c r="C12">
        <f>SUMIF(ENTRADAS[COD],PRODUCTOS[[#This Row],[COD]],ENTRADAS[CANT])</f>
        <v>26</v>
      </c>
      <c r="D12">
        <f>SUMIF(SALIDAS[COD],PRODUCTOS[[#This Row],[COD]],SALIDAS[CANT])</f>
        <v>5</v>
      </c>
      <c r="E12">
        <f>PRODUCTOS[[#This Row],[ENTRADAS]]-PRODUCTOS[[#This Row],[SALIDAS]]</f>
        <v>21</v>
      </c>
      <c r="G12" t="s">
        <v>10</v>
      </c>
      <c r="H12" t="str">
        <f>IFERROR(VLOOKUP(ENTRADAS[[#This Row],[COD]],PRODUCTOS[],2,FALSE),"No existe")</f>
        <v>CEPILLO INODORO</v>
      </c>
      <c r="I12" t="s">
        <v>25</v>
      </c>
      <c r="J12">
        <v>26</v>
      </c>
      <c r="L12" t="s">
        <v>10</v>
      </c>
      <c r="M12" t="str">
        <f>IFERROR(VLOOKUP(SALIDAS[[#This Row],[COD]],PRODUCTOS[],2,FALSE),"No Existe")</f>
        <v>CEPILLO INODORO</v>
      </c>
      <c r="N12" t="s">
        <v>25</v>
      </c>
      <c r="O12">
        <v>5</v>
      </c>
    </row>
    <row r="13" spans="1:15" x14ac:dyDescent="0.25">
      <c r="A13" t="s">
        <v>11</v>
      </c>
      <c r="B13" t="s">
        <v>20</v>
      </c>
      <c r="C13">
        <f>SUMIF(ENTRADAS[COD],PRODUCTOS[[#This Row],[COD]],ENTRADAS[CANT])</f>
        <v>67</v>
      </c>
      <c r="D13">
        <f>SUMIF(SALIDAS[COD],PRODUCTOS[[#This Row],[COD]],SALIDAS[CANT])</f>
        <v>23</v>
      </c>
      <c r="E13">
        <f>PRODUCTOS[[#This Row],[ENTRADAS]]-PRODUCTOS[[#This Row],[SALIDAS]]</f>
        <v>44</v>
      </c>
      <c r="G13" t="s">
        <v>11</v>
      </c>
      <c r="H13" t="str">
        <f>IFERROR(VLOOKUP(ENTRADAS[[#This Row],[COD]],PRODUCTOS[],2,FALSE),"No existe")</f>
        <v>MOPA O FREGENA</v>
      </c>
      <c r="I13" t="s">
        <v>25</v>
      </c>
      <c r="J13">
        <v>67</v>
      </c>
      <c r="L13" t="s">
        <v>7</v>
      </c>
      <c r="M13" t="str">
        <f>IFERROR(VLOOKUP(SALIDAS[[#This Row],[COD]],PRODUCTOS[],2,FALSE),"No Existe")</f>
        <v>LIMPIA VIDRIOS</v>
      </c>
      <c r="N13" t="s">
        <v>25</v>
      </c>
      <c r="O13">
        <v>12</v>
      </c>
    </row>
    <row r="14" spans="1:15" x14ac:dyDescent="0.25">
      <c r="A14" t="s">
        <v>12</v>
      </c>
      <c r="B14" t="s">
        <v>21</v>
      </c>
      <c r="C14">
        <f>SUMIF(ENTRADAS[COD],PRODUCTOS[[#This Row],[COD]],ENTRADAS[CANT])</f>
        <v>112</v>
      </c>
      <c r="D14">
        <f>SUMIF(SALIDAS[COD],PRODUCTOS[[#This Row],[COD]],SALIDAS[CANT])</f>
        <v>0</v>
      </c>
      <c r="E14">
        <f>PRODUCTOS[[#This Row],[ENTRADAS]]-PRODUCTOS[[#This Row],[SALIDAS]]</f>
        <v>112</v>
      </c>
      <c r="G14" t="s">
        <v>12</v>
      </c>
      <c r="H14" s="10" t="str">
        <f>IFERROR(VLOOKUP(ENTRADAS[[#This Row],[COD]],PRODUCTOS[],2,FALSE),"No existe")</f>
        <v>GUANTES DE GOMA</v>
      </c>
      <c r="I14" t="s">
        <v>25</v>
      </c>
      <c r="J14">
        <v>12</v>
      </c>
      <c r="L14" t="s">
        <v>11</v>
      </c>
      <c r="M14" t="str">
        <f>IFERROR(VLOOKUP(SALIDAS[[#This Row],[COD]],PRODUCTOS[],2,FALSE),"No Existe")</f>
        <v>MOPA O FREGENA</v>
      </c>
      <c r="N14" t="s">
        <v>25</v>
      </c>
      <c r="O14">
        <v>23</v>
      </c>
    </row>
    <row r="15" spans="1:15" x14ac:dyDescent="0.25">
      <c r="A15" t="s">
        <v>29</v>
      </c>
      <c r="B15" t="s">
        <v>47</v>
      </c>
      <c r="C15">
        <f>SUMIF(ENTRADAS[COD],PRODUCTOS[[#This Row],[COD]],ENTRADAS[CANT])</f>
        <v>0</v>
      </c>
      <c r="D15">
        <f>SUMIF(SALIDAS[COD],PRODUCTOS[[#This Row],[COD]],SALIDAS[CANT])</f>
        <v>0</v>
      </c>
      <c r="E15">
        <f>PRODUCTOS[[#This Row],[ENTRADAS]]-PRODUCTOS[[#This Row],[SALIDAS]]</f>
        <v>0</v>
      </c>
      <c r="G15" t="s">
        <v>12</v>
      </c>
      <c r="H15" t="str">
        <f>IFERROR(VLOOKUP(ENTRADAS[[#This Row],[COD]],PRODUCTOS[],2,FALSE),"No existe")</f>
        <v>GUANTES DE GOMA</v>
      </c>
      <c r="I15" t="s">
        <v>39</v>
      </c>
      <c r="J15">
        <v>100</v>
      </c>
      <c r="L15" t="s">
        <v>4</v>
      </c>
      <c r="M15" t="str">
        <f>IFERROR(VLOOKUP(SALIDAS[[#This Row],[COD]],PRODUCTOS[],2,FALSE),"No Existe")</f>
        <v>ESPONJAS</v>
      </c>
      <c r="N15" t="s">
        <v>39</v>
      </c>
      <c r="O15">
        <v>50</v>
      </c>
    </row>
    <row r="16" spans="1:15" x14ac:dyDescent="0.25">
      <c r="A16" t="s">
        <v>99</v>
      </c>
      <c r="B16" t="s">
        <v>109</v>
      </c>
      <c r="C16">
        <f>SUMIF(ENTRADAS[COD],PRODUCTOS[[#This Row],[COD]],ENTRADAS[CANT])</f>
        <v>0</v>
      </c>
      <c r="D16">
        <f>SUMIF(SALIDAS[COD],PRODUCTOS[[#This Row],[COD]],SALIDAS[CANT])</f>
        <v>0</v>
      </c>
      <c r="E16">
        <f>PRODUCTOS[[#This Row],[ENTRADAS]]-PRODUCTOS[[#This Row],[SALIDAS]]</f>
        <v>0</v>
      </c>
      <c r="G16" t="s">
        <v>4</v>
      </c>
      <c r="H16" t="str">
        <f>IFERROR(VLOOKUP(ENTRADAS[[#This Row],[COD]],PRODUCTOS[],2,FALSE),"No existe")</f>
        <v>ESPONJAS</v>
      </c>
      <c r="I16" t="s">
        <v>48</v>
      </c>
      <c r="J16">
        <v>10</v>
      </c>
    </row>
    <row r="17" spans="1:16" x14ac:dyDescent="0.25">
      <c r="A17" t="s">
        <v>101</v>
      </c>
      <c r="B17" t="s">
        <v>110</v>
      </c>
      <c r="C17">
        <f>SUMIF(ENTRADAS[COD],PRODUCTOS[[#This Row],[COD]],ENTRADAS[CANT])</f>
        <v>0</v>
      </c>
      <c r="D17">
        <f>SUMIF(SALIDAS[COD],PRODUCTOS[[#This Row],[COD]],SALIDAS[CANT])</f>
        <v>0</v>
      </c>
      <c r="E17">
        <f>PRODUCTOS[[#This Row],[ENTRADAS]]-PRODUCTOS[[#This Row],[SALIDAS]]</f>
        <v>0</v>
      </c>
    </row>
    <row r="18" spans="1:16" x14ac:dyDescent="0.25">
      <c r="A18" t="s">
        <v>113</v>
      </c>
      <c r="B18" t="s">
        <v>111</v>
      </c>
      <c r="C18">
        <f>SUMIF(ENTRADAS[COD],PRODUCTOS[[#This Row],[COD]],ENTRADAS[CANT])</f>
        <v>0</v>
      </c>
      <c r="D18">
        <f>SUMIF(SALIDAS[COD],PRODUCTOS[[#This Row],[COD]],SALIDAS[CANT])</f>
        <v>0</v>
      </c>
      <c r="E18">
        <f>PRODUCTOS[[#This Row],[ENTRADAS]]-PRODUCTOS[[#This Row],[SALIDAS]]</f>
        <v>0</v>
      </c>
    </row>
    <row r="19" spans="1:16" x14ac:dyDescent="0.25">
      <c r="A19" t="s">
        <v>114</v>
      </c>
      <c r="B19" t="s">
        <v>112</v>
      </c>
      <c r="C19">
        <f>SUMIF(ENTRADAS[COD],PRODUCTOS[[#This Row],[COD]],ENTRADAS[CANT])</f>
        <v>0</v>
      </c>
      <c r="D19">
        <f>SUMIF(SALIDAS[COD],PRODUCTOS[[#This Row],[COD]],SALIDAS[CANT])</f>
        <v>0</v>
      </c>
      <c r="E19">
        <f>PRODUCTOS[[#This Row],[ENTRADAS]]-PRODUCTOS[[#This Row],[SALIDAS]]</f>
        <v>0</v>
      </c>
    </row>
    <row r="23" spans="1:16" x14ac:dyDescent="0.25">
      <c r="A23" s="21" t="s">
        <v>38</v>
      </c>
      <c r="B23" s="21" t="s">
        <v>0</v>
      </c>
      <c r="C23" s="21" t="s">
        <v>1</v>
      </c>
      <c r="D23" s="21" t="s">
        <v>2</v>
      </c>
      <c r="E23" s="21" t="s">
        <v>3</v>
      </c>
      <c r="F23" s="1"/>
      <c r="H23" s="21" t="s">
        <v>38</v>
      </c>
      <c r="I23" s="21" t="s">
        <v>0</v>
      </c>
      <c r="J23" s="21" t="s">
        <v>22</v>
      </c>
      <c r="K23" s="21" t="s">
        <v>40</v>
      </c>
      <c r="M23" s="21" t="s">
        <v>38</v>
      </c>
      <c r="N23" s="21" t="s">
        <v>0</v>
      </c>
      <c r="O23" s="21" t="s">
        <v>22</v>
      </c>
      <c r="P23" s="21" t="s">
        <v>40</v>
      </c>
    </row>
    <row r="24" spans="1:16" x14ac:dyDescent="0.25">
      <c r="A24" s="7" t="s">
        <v>4</v>
      </c>
      <c r="B24" s="7" t="s">
        <v>13</v>
      </c>
      <c r="C24" s="7">
        <v>60</v>
      </c>
      <c r="D24" s="7">
        <v>50</v>
      </c>
      <c r="E24" s="7">
        <v>10</v>
      </c>
      <c r="H24" s="7" t="s">
        <v>4</v>
      </c>
      <c r="I24" s="7" t="s">
        <v>13</v>
      </c>
      <c r="J24" s="7" t="s">
        <v>23</v>
      </c>
      <c r="K24" s="7">
        <v>10</v>
      </c>
      <c r="M24" s="7" t="s">
        <v>6</v>
      </c>
      <c r="N24" s="7" t="s">
        <v>15</v>
      </c>
      <c r="O24" s="7" t="s">
        <v>26</v>
      </c>
      <c r="P24" s="7">
        <v>10</v>
      </c>
    </row>
    <row r="25" spans="1:16" x14ac:dyDescent="0.25">
      <c r="A25" s="7" t="s">
        <v>5</v>
      </c>
      <c r="B25" s="7" t="s">
        <v>14</v>
      </c>
      <c r="C25" s="7">
        <v>0</v>
      </c>
      <c r="D25" s="7">
        <v>21</v>
      </c>
      <c r="E25" s="7">
        <v>-21</v>
      </c>
      <c r="H25" s="7" t="s">
        <v>4</v>
      </c>
      <c r="I25" s="7" t="s">
        <v>13</v>
      </c>
      <c r="J25" s="7" t="s">
        <v>24</v>
      </c>
      <c r="K25" s="7">
        <v>10</v>
      </c>
      <c r="M25" s="7" t="s">
        <v>5</v>
      </c>
      <c r="N25" s="7" t="s">
        <v>14</v>
      </c>
      <c r="O25" s="7" t="s">
        <v>24</v>
      </c>
      <c r="P25" s="7">
        <v>15</v>
      </c>
    </row>
    <row r="26" spans="1:16" x14ac:dyDescent="0.25">
      <c r="A26" s="7" t="s">
        <v>6</v>
      </c>
      <c r="B26" s="7" t="s">
        <v>15</v>
      </c>
      <c r="C26" s="7">
        <v>0</v>
      </c>
      <c r="D26" s="7">
        <v>15</v>
      </c>
      <c r="E26" s="7">
        <v>-15</v>
      </c>
      <c r="H26" s="7" t="s">
        <v>4</v>
      </c>
      <c r="I26" s="7" t="s">
        <v>13</v>
      </c>
      <c r="J26" s="7" t="s">
        <v>25</v>
      </c>
      <c r="K26" s="7">
        <v>30</v>
      </c>
      <c r="M26" s="7" t="s">
        <v>6</v>
      </c>
      <c r="N26" s="7" t="s">
        <v>15</v>
      </c>
      <c r="O26" s="7" t="s">
        <v>25</v>
      </c>
      <c r="P26" s="7">
        <v>5</v>
      </c>
    </row>
    <row r="27" spans="1:16" x14ac:dyDescent="0.25">
      <c r="A27" s="7" t="s">
        <v>7</v>
      </c>
      <c r="B27" s="7" t="s">
        <v>16</v>
      </c>
      <c r="C27" s="7">
        <v>20</v>
      </c>
      <c r="D27" s="7">
        <v>13</v>
      </c>
      <c r="E27" s="7">
        <v>7</v>
      </c>
      <c r="H27" s="7" t="s">
        <v>7</v>
      </c>
      <c r="I27" s="7" t="s">
        <v>16</v>
      </c>
      <c r="J27" s="7" t="s">
        <v>25</v>
      </c>
      <c r="K27" s="7">
        <v>20</v>
      </c>
      <c r="M27" s="7" t="s">
        <v>5</v>
      </c>
      <c r="N27" s="7" t="s">
        <v>14</v>
      </c>
      <c r="O27" s="7" t="s">
        <v>25</v>
      </c>
      <c r="P27" s="7">
        <v>6</v>
      </c>
    </row>
    <row r="28" spans="1:16" x14ac:dyDescent="0.25">
      <c r="A28" s="7" t="s">
        <v>8</v>
      </c>
      <c r="B28" s="7" t="s">
        <v>17</v>
      </c>
      <c r="C28" s="7">
        <v>30</v>
      </c>
      <c r="D28" s="7">
        <v>2</v>
      </c>
      <c r="E28" s="7">
        <v>28</v>
      </c>
      <c r="H28" s="7" t="s">
        <v>8</v>
      </c>
      <c r="I28" s="7" t="s">
        <v>17</v>
      </c>
      <c r="J28" s="7" t="s">
        <v>25</v>
      </c>
      <c r="K28" s="7">
        <v>30</v>
      </c>
      <c r="M28" s="7" t="s">
        <v>8</v>
      </c>
      <c r="N28" s="7" t="s">
        <v>17</v>
      </c>
      <c r="O28" s="7" t="s">
        <v>25</v>
      </c>
      <c r="P28" s="7">
        <v>2</v>
      </c>
    </row>
    <row r="29" spans="1:16" x14ac:dyDescent="0.25">
      <c r="A29" s="7" t="s">
        <v>9</v>
      </c>
      <c r="B29" s="7" t="s">
        <v>18</v>
      </c>
      <c r="C29" s="7">
        <v>43</v>
      </c>
      <c r="D29" s="7">
        <v>0</v>
      </c>
      <c r="E29" s="7">
        <v>43</v>
      </c>
      <c r="H29" s="7" t="s">
        <v>9</v>
      </c>
      <c r="I29" s="7" t="s">
        <v>18</v>
      </c>
      <c r="J29" s="7" t="s">
        <v>25</v>
      </c>
      <c r="K29" s="7">
        <v>43</v>
      </c>
      <c r="M29" s="7" t="s">
        <v>7</v>
      </c>
      <c r="N29" s="7" t="s">
        <v>16</v>
      </c>
      <c r="O29" s="7" t="s">
        <v>25</v>
      </c>
      <c r="P29" s="7">
        <v>1</v>
      </c>
    </row>
    <row r="30" spans="1:16" x14ac:dyDescent="0.25">
      <c r="A30" s="7" t="s">
        <v>10</v>
      </c>
      <c r="B30" s="7" t="s">
        <v>19</v>
      </c>
      <c r="C30" s="7">
        <v>26</v>
      </c>
      <c r="D30" s="7">
        <v>5</v>
      </c>
      <c r="E30" s="7">
        <v>21</v>
      </c>
      <c r="H30" s="7" t="s">
        <v>10</v>
      </c>
      <c r="I30" s="7" t="s">
        <v>19</v>
      </c>
      <c r="J30" s="7" t="s">
        <v>25</v>
      </c>
      <c r="K30" s="7">
        <v>26</v>
      </c>
      <c r="M30" s="7" t="s">
        <v>10</v>
      </c>
      <c r="N30" s="7" t="s">
        <v>19</v>
      </c>
      <c r="O30" s="7" t="s">
        <v>25</v>
      </c>
      <c r="P30" s="7">
        <v>5</v>
      </c>
    </row>
    <row r="31" spans="1:16" x14ac:dyDescent="0.25">
      <c r="A31" s="7" t="s">
        <v>11</v>
      </c>
      <c r="B31" s="7" t="s">
        <v>20</v>
      </c>
      <c r="C31" s="7">
        <v>67</v>
      </c>
      <c r="D31" s="7">
        <v>23</v>
      </c>
      <c r="E31" s="7">
        <v>44</v>
      </c>
      <c r="H31" s="7" t="s">
        <v>11</v>
      </c>
      <c r="I31" s="7" t="s">
        <v>20</v>
      </c>
      <c r="J31" s="7" t="s">
        <v>25</v>
      </c>
      <c r="K31" s="7">
        <v>67</v>
      </c>
      <c r="M31" s="7" t="s">
        <v>7</v>
      </c>
      <c r="N31" s="7" t="s">
        <v>16</v>
      </c>
      <c r="O31" s="7" t="s">
        <v>25</v>
      </c>
      <c r="P31" s="7">
        <v>12</v>
      </c>
    </row>
    <row r="32" spans="1:16" x14ac:dyDescent="0.25">
      <c r="A32" s="7" t="s">
        <v>12</v>
      </c>
      <c r="B32" s="7" t="s">
        <v>21</v>
      </c>
      <c r="C32" s="7">
        <v>112</v>
      </c>
      <c r="D32" s="7">
        <v>0</v>
      </c>
      <c r="E32" s="7">
        <v>112</v>
      </c>
      <c r="H32" s="7" t="s">
        <v>12</v>
      </c>
      <c r="I32" s="7" t="s">
        <v>21</v>
      </c>
      <c r="J32" s="7" t="s">
        <v>25</v>
      </c>
      <c r="K32" s="7">
        <v>12</v>
      </c>
      <c r="M32" s="7" t="s">
        <v>11</v>
      </c>
      <c r="N32" s="7" t="s">
        <v>20</v>
      </c>
      <c r="O32" s="7" t="s">
        <v>25</v>
      </c>
      <c r="P32" s="7">
        <v>23</v>
      </c>
    </row>
    <row r="33" spans="1:16" x14ac:dyDescent="0.25">
      <c r="A33" s="7" t="s">
        <v>29</v>
      </c>
      <c r="B33" s="7" t="s">
        <v>47</v>
      </c>
      <c r="C33" s="7">
        <v>0</v>
      </c>
      <c r="D33" s="7">
        <v>0</v>
      </c>
      <c r="E33" s="7">
        <v>0</v>
      </c>
      <c r="H33" s="7" t="s">
        <v>12</v>
      </c>
      <c r="I33" s="7" t="s">
        <v>21</v>
      </c>
      <c r="J33" s="7" t="s">
        <v>39</v>
      </c>
      <c r="K33" s="7">
        <v>100</v>
      </c>
      <c r="M33" s="7" t="s">
        <v>4</v>
      </c>
      <c r="N33" s="7" t="s">
        <v>13</v>
      </c>
      <c r="O33" s="7" t="s">
        <v>39</v>
      </c>
      <c r="P33" s="7">
        <v>50</v>
      </c>
    </row>
    <row r="34" spans="1:16" x14ac:dyDescent="0.25">
      <c r="H34" s="7" t="s">
        <v>4</v>
      </c>
      <c r="I34" s="7" t="s">
        <v>13</v>
      </c>
      <c r="J34" s="7" t="s">
        <v>48</v>
      </c>
      <c r="K34" s="7">
        <v>10</v>
      </c>
    </row>
  </sheetData>
  <sheetProtection insertColumns="0" insertRows="0" deleteColumns="0" deleteRows="0"/>
  <protectedRanges>
    <protectedRange algorithmName="SHA-512" hashValue="KUq7vQnNZbx7eg1i2j4MxoytziBBUySSs1Hjs190biFEtjqdnU+q10yDGbAYSwFRuHieyO7uZpqbGIlVFZYRWQ==" saltValue="ZC1/NXved7RYSdArvByoFA==" spinCount="100000" sqref="G6:G16 I6:J16 A6:B19" name="ADMINISTRADOR"/>
    <protectedRange algorithmName="SHA-512" hashValue="rglPoHOxITQoTvE+TB2R/1EO8YT2qUcKP6LPLA6Z/enfbpBBQyQ1fVQauzwdoDxjzHY26mdBKh2dqF+pOabd2A==" saltValue="ZLKsYHZHqnL2oqZE0N2giA==" spinCount="100000" sqref="L6:L15 N6:O15" name="VENDEDOR"/>
  </protectedRanges>
  <mergeCells count="3">
    <mergeCell ref="G4:J4"/>
    <mergeCell ref="L4:O4"/>
    <mergeCell ref="A4:E4"/>
  </mergeCells>
  <phoneticPr fontId="4" type="noConversion"/>
  <dataValidations disablePrompts="1" count="3">
    <dataValidation type="list" allowBlank="1" showInputMessage="1" showErrorMessage="1" sqref="G6:G16" xr:uid="{1FCF9F83-C02F-4B08-B151-4F51E1B0964F}">
      <formula1>$A$6:$A$19</formula1>
    </dataValidation>
    <dataValidation type="list" allowBlank="1" showInputMessage="1" showErrorMessage="1" errorTitle="Producto" error="No existe" sqref="L6:L15" xr:uid="{4D0C9639-E280-4BC9-B025-40E16317ABA4}">
      <formula1>$A$6:$A$19</formula1>
    </dataValidation>
    <dataValidation type="list" allowBlank="1" showInputMessage="1" showErrorMessage="1" sqref="B2" xr:uid="{A70C9957-A656-4764-B50D-5F0878B93480}">
      <formula1>$B$6:$B$19</formula1>
    </dataValidation>
  </dataValidations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18E9-10BA-420F-97FC-F21630CDECB7}">
  <sheetPr codeName="Hoja5"/>
  <dimension ref="A1:E4"/>
  <sheetViews>
    <sheetView workbookViewId="0">
      <selection activeCell="F9" sqref="F9"/>
    </sheetView>
  </sheetViews>
  <sheetFormatPr baseColWidth="10" defaultColWidth="8.85546875" defaultRowHeight="15" x14ac:dyDescent="0.25"/>
  <cols>
    <col min="1" max="1" width="64.5703125" bestFit="1" customWidth="1"/>
    <col min="2" max="2" width="1.7109375" customWidth="1"/>
    <col min="3" max="3" width="1.5703125" style="6" customWidth="1"/>
    <col min="4" max="4" width="1.5703125" customWidth="1"/>
    <col min="5" max="5" width="90.7109375" bestFit="1" customWidth="1"/>
  </cols>
  <sheetData>
    <row r="1" spans="1:5" ht="9.6" customHeight="1" x14ac:dyDescent="0.25"/>
    <row r="2" spans="1:5" ht="18.75" x14ac:dyDescent="0.3">
      <c r="A2" s="5" t="s">
        <v>31</v>
      </c>
      <c r="E2" s="5" t="s">
        <v>32</v>
      </c>
    </row>
    <row r="4" spans="1:5" x14ac:dyDescent="0.25">
      <c r="A4" s="1" t="s">
        <v>33</v>
      </c>
      <c r="E4" s="1" t="s">
        <v>37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2A802-3823-48BF-B2D2-B6BA2AD5F0EB}">
  <sheetPr codeName="Hoja6"/>
  <dimension ref="A3:Q13"/>
  <sheetViews>
    <sheetView workbookViewId="0">
      <selection activeCell="I17" sqref="I17"/>
    </sheetView>
  </sheetViews>
  <sheetFormatPr baseColWidth="10" defaultRowHeight="15" x14ac:dyDescent="0.25"/>
  <cols>
    <col min="1" max="1" width="6.85546875" bestFit="1" customWidth="1"/>
    <col min="2" max="2" width="17.42578125" bestFit="1" customWidth="1"/>
    <col min="3" max="3" width="12.28515625" bestFit="1" customWidth="1"/>
    <col min="4" max="4" width="10.28515625" bestFit="1" customWidth="1"/>
    <col min="5" max="5" width="8.7109375" bestFit="1" customWidth="1"/>
    <col min="6" max="6" width="5.28515625" customWidth="1"/>
    <col min="7" max="7" width="10.140625" bestFit="1" customWidth="1"/>
    <col min="8" max="8" width="15.28515625" customWidth="1"/>
    <col min="9" max="9" width="8.42578125" bestFit="1" customWidth="1"/>
    <col min="10" max="10" width="11.85546875" bestFit="1" customWidth="1"/>
    <col min="11" max="11" width="14" bestFit="1" customWidth="1"/>
    <col min="12" max="12" width="14.7109375" bestFit="1" customWidth="1"/>
    <col min="13" max="13" width="15.28515625" bestFit="1" customWidth="1"/>
    <col min="14" max="14" width="16.5703125" bestFit="1" customWidth="1"/>
    <col min="15" max="15" width="16.140625" bestFit="1" customWidth="1"/>
    <col min="16" max="16" width="17.42578125" bestFit="1" customWidth="1"/>
    <col min="17" max="17" width="15.42578125" bestFit="1" customWidth="1"/>
  </cols>
  <sheetData>
    <row r="3" spans="1:17" x14ac:dyDescent="0.25">
      <c r="A3" s="8" t="s">
        <v>38</v>
      </c>
      <c r="B3" s="8" t="s">
        <v>0</v>
      </c>
      <c r="C3" s="8" t="s">
        <v>1</v>
      </c>
      <c r="D3" s="8" t="s">
        <v>2</v>
      </c>
      <c r="E3" s="8" t="s">
        <v>3</v>
      </c>
      <c r="G3" s="38" t="s">
        <v>38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7" t="s">
        <v>11</v>
      </c>
      <c r="P3" s="7" t="s">
        <v>12</v>
      </c>
      <c r="Q3" s="7" t="s">
        <v>29</v>
      </c>
    </row>
    <row r="4" spans="1:17" x14ac:dyDescent="0.25">
      <c r="A4" t="s">
        <v>4</v>
      </c>
      <c r="B4" t="s">
        <v>13</v>
      </c>
      <c r="C4">
        <f>SUMIF(ENTRADAS[COD],PRODUCTOS7[[#This Row],[COD]],ENTRADAS[CANT])</f>
        <v>60</v>
      </c>
      <c r="D4">
        <f>SUMIF(SALIDAS[COD],PRODUCTOS7[[#This Row],[COD]],SALIDAS[CANT])</f>
        <v>50</v>
      </c>
      <c r="E4">
        <f>PRODUCTOS7[[#This Row],[ENTRADAS]]-PRODUCTOS7[[#This Row],[SALIDAS]]</f>
        <v>10</v>
      </c>
      <c r="G4" s="38" t="s">
        <v>0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7" t="s">
        <v>19</v>
      </c>
      <c r="O4" s="7" t="s">
        <v>20</v>
      </c>
      <c r="P4" s="7" t="s">
        <v>21</v>
      </c>
      <c r="Q4" s="7" t="s">
        <v>47</v>
      </c>
    </row>
    <row r="5" spans="1:17" x14ac:dyDescent="0.25">
      <c r="A5" t="s">
        <v>5</v>
      </c>
      <c r="B5" t="s">
        <v>14</v>
      </c>
      <c r="C5">
        <f>SUMIF(ENTRADAS[COD],PRODUCTOS7[[#This Row],[COD]],ENTRADAS[CANT])</f>
        <v>0</v>
      </c>
      <c r="D5">
        <f>SUMIF(SALIDAS[COD],PRODUCTOS7[[#This Row],[COD]],SALIDAS[CANT])</f>
        <v>21</v>
      </c>
      <c r="E5">
        <f>PRODUCTOS7[[#This Row],[ENTRADAS]]-PRODUCTOS7[[#This Row],[SALIDAS]]</f>
        <v>-21</v>
      </c>
      <c r="G5" s="38" t="s">
        <v>1</v>
      </c>
      <c r="H5" s="7">
        <v>60</v>
      </c>
      <c r="I5" s="7">
        <v>0</v>
      </c>
      <c r="J5" s="7">
        <v>0</v>
      </c>
      <c r="K5" s="7">
        <v>20</v>
      </c>
      <c r="L5" s="7">
        <v>30</v>
      </c>
      <c r="M5" s="7">
        <v>43</v>
      </c>
      <c r="N5" s="7">
        <v>26</v>
      </c>
      <c r="O5" s="7">
        <v>67</v>
      </c>
      <c r="P5" s="7">
        <v>112</v>
      </c>
      <c r="Q5" s="7">
        <v>0</v>
      </c>
    </row>
    <row r="6" spans="1:17" x14ac:dyDescent="0.25">
      <c r="A6" t="s">
        <v>6</v>
      </c>
      <c r="B6" t="s">
        <v>15</v>
      </c>
      <c r="C6">
        <f>SUMIF(ENTRADAS[COD],PRODUCTOS7[[#This Row],[COD]],ENTRADAS[CANT])</f>
        <v>0</v>
      </c>
      <c r="D6">
        <f>SUMIF(SALIDAS[COD],PRODUCTOS7[[#This Row],[COD]],SALIDAS[CANT])</f>
        <v>15</v>
      </c>
      <c r="E6">
        <f>PRODUCTOS7[[#This Row],[ENTRADAS]]-PRODUCTOS7[[#This Row],[SALIDAS]]</f>
        <v>-15</v>
      </c>
      <c r="G6" s="38" t="s">
        <v>2</v>
      </c>
      <c r="H6" s="7">
        <v>50</v>
      </c>
      <c r="I6" s="7">
        <v>21</v>
      </c>
      <c r="J6" s="7">
        <v>15</v>
      </c>
      <c r="K6" s="7">
        <v>13</v>
      </c>
      <c r="L6" s="7">
        <v>2</v>
      </c>
      <c r="M6" s="7">
        <v>0</v>
      </c>
      <c r="N6" s="7">
        <v>5</v>
      </c>
      <c r="O6" s="7">
        <v>23</v>
      </c>
      <c r="P6" s="7">
        <v>0</v>
      </c>
      <c r="Q6" s="7">
        <v>0</v>
      </c>
    </row>
    <row r="7" spans="1:17" x14ac:dyDescent="0.25">
      <c r="A7" t="s">
        <v>7</v>
      </c>
      <c r="B7" t="s">
        <v>16</v>
      </c>
      <c r="C7">
        <f>SUMIF(ENTRADAS[COD],PRODUCTOS7[[#This Row],[COD]],ENTRADAS[CANT])</f>
        <v>20</v>
      </c>
      <c r="D7">
        <f>SUMIF(SALIDAS[COD],PRODUCTOS7[[#This Row],[COD]],SALIDAS[CANT])</f>
        <v>13</v>
      </c>
      <c r="E7">
        <f>PRODUCTOS7[[#This Row],[ENTRADAS]]-PRODUCTOS7[[#This Row],[SALIDAS]]</f>
        <v>7</v>
      </c>
      <c r="G7" s="38" t="s">
        <v>3</v>
      </c>
      <c r="H7" s="7">
        <v>10</v>
      </c>
      <c r="I7" s="7">
        <v>-21</v>
      </c>
      <c r="J7" s="7">
        <v>-15</v>
      </c>
      <c r="K7" s="7">
        <v>7</v>
      </c>
      <c r="L7" s="7">
        <v>28</v>
      </c>
      <c r="M7" s="7">
        <v>43</v>
      </c>
      <c r="N7" s="7">
        <v>21</v>
      </c>
      <c r="O7" s="7">
        <v>44</v>
      </c>
      <c r="P7" s="7">
        <v>112</v>
      </c>
      <c r="Q7" s="7">
        <v>0</v>
      </c>
    </row>
    <row r="8" spans="1:17" x14ac:dyDescent="0.25">
      <c r="A8" t="s">
        <v>8</v>
      </c>
      <c r="B8" t="s">
        <v>17</v>
      </c>
      <c r="C8">
        <f>SUMIF(ENTRADAS[COD],PRODUCTOS7[[#This Row],[COD]],ENTRADAS[CANT])</f>
        <v>30</v>
      </c>
      <c r="D8">
        <f>SUMIF(SALIDAS[COD],PRODUCTOS7[[#This Row],[COD]],SALIDAS[CANT])</f>
        <v>2</v>
      </c>
      <c r="E8">
        <f>PRODUCTOS7[[#This Row],[ENTRADAS]]-PRODUCTOS7[[#This Row],[SALIDAS]]</f>
        <v>28</v>
      </c>
    </row>
    <row r="9" spans="1:17" x14ac:dyDescent="0.25">
      <c r="A9" t="s">
        <v>9</v>
      </c>
      <c r="B9" t="s">
        <v>18</v>
      </c>
      <c r="C9">
        <f>SUMIF(ENTRADAS[COD],PRODUCTOS7[[#This Row],[COD]],ENTRADAS[CANT])</f>
        <v>43</v>
      </c>
      <c r="D9">
        <f>SUMIF(SALIDAS[COD],PRODUCTOS7[[#This Row],[COD]],SALIDAS[CANT])</f>
        <v>0</v>
      </c>
      <c r="E9">
        <f>PRODUCTOS7[[#This Row],[ENTRADAS]]-PRODUCTOS7[[#This Row],[SALIDAS]]</f>
        <v>43</v>
      </c>
    </row>
    <row r="10" spans="1:17" x14ac:dyDescent="0.25">
      <c r="A10" t="s">
        <v>10</v>
      </c>
      <c r="B10" t="s">
        <v>19</v>
      </c>
      <c r="C10">
        <f>SUMIF(ENTRADAS[COD],PRODUCTOS7[[#This Row],[COD]],ENTRADAS[CANT])</f>
        <v>26</v>
      </c>
      <c r="D10">
        <f>SUMIF(SALIDAS[COD],PRODUCTOS7[[#This Row],[COD]],SALIDAS[CANT])</f>
        <v>5</v>
      </c>
      <c r="E10">
        <f>PRODUCTOS7[[#This Row],[ENTRADAS]]-PRODUCTOS7[[#This Row],[SALIDAS]]</f>
        <v>21</v>
      </c>
      <c r="G10" s="13" t="s">
        <v>68</v>
      </c>
      <c r="H10" s="13" t="s">
        <v>69</v>
      </c>
    </row>
    <row r="11" spans="1:17" x14ac:dyDescent="0.25">
      <c r="A11" t="s">
        <v>11</v>
      </c>
      <c r="B11" t="s">
        <v>20</v>
      </c>
      <c r="C11">
        <f>SUMIF(ENTRADAS[COD],PRODUCTOS7[[#This Row],[COD]],ENTRADAS[CANT])</f>
        <v>67</v>
      </c>
      <c r="D11">
        <f>SUMIF(SALIDAS[COD],PRODUCTOS7[[#This Row],[COD]],SALIDAS[CANT])</f>
        <v>23</v>
      </c>
      <c r="E11">
        <f>PRODUCTOS7[[#This Row],[ENTRADAS]]-PRODUCTOS7[[#This Row],[SALIDAS]]</f>
        <v>44</v>
      </c>
      <c r="G11" s="14" t="s">
        <v>4</v>
      </c>
      <c r="H11" s="15" t="str">
        <f>HLOOKUP(G11,H3:Q7,2,FALSE)</f>
        <v>ESPONJAS</v>
      </c>
    </row>
    <row r="12" spans="1:17" x14ac:dyDescent="0.25">
      <c r="A12" t="s">
        <v>12</v>
      </c>
      <c r="B12" t="s">
        <v>21</v>
      </c>
      <c r="C12">
        <f>SUMIF(ENTRADAS[COD],PRODUCTOS7[[#This Row],[COD]],ENTRADAS[CANT])</f>
        <v>112</v>
      </c>
      <c r="D12">
        <f>SUMIF(SALIDAS[COD],PRODUCTOS7[[#This Row],[COD]],SALIDAS[CANT])</f>
        <v>0</v>
      </c>
      <c r="E12">
        <f>PRODUCTOS7[[#This Row],[ENTRADAS]]-PRODUCTOS7[[#This Row],[SALIDAS]]</f>
        <v>112</v>
      </c>
    </row>
    <row r="13" spans="1:17" x14ac:dyDescent="0.25">
      <c r="A13" t="s">
        <v>29</v>
      </c>
      <c r="B13" t="s">
        <v>47</v>
      </c>
      <c r="C13">
        <f>SUMIF(ENTRADAS[COD],PRODUCTOS7[[#This Row],[COD]],ENTRADAS[CANT])</f>
        <v>0</v>
      </c>
      <c r="D13">
        <f>SUMIF(SALIDAS[COD],PRODUCTOS7[[#This Row],[COD]],SALIDAS[CANT])</f>
        <v>0</v>
      </c>
      <c r="E13">
        <f>PRODUCTOS7[[#This Row],[ENTRADAS]]-PRODUCTOS7[[#This Row],[SALIDAS]]</f>
        <v>0</v>
      </c>
    </row>
  </sheetData>
  <protectedRanges>
    <protectedRange algorithmName="SHA-512" hashValue="KUq7vQnNZbx7eg1i2j4MxoytziBBUySSs1Hjs190biFEtjqdnU+q10yDGbAYSwFRuHieyO7uZpqbGIlVFZYRWQ==" saltValue="ZC1/NXved7RYSdArvByoFA==" spinCount="100000" sqref="A4:B13" name="ADMINISTRADOR"/>
  </protectedRanges>
  <dataValidations count="1">
    <dataValidation type="list" allowBlank="1" showInputMessage="1" showErrorMessage="1" sqref="G11" xr:uid="{730A69DA-F4B6-4CAB-A6AD-702F8C9F750D}">
      <formula1>$H$3:$Q$3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D47F-BF20-47FB-989A-5D95F00D9291}">
  <sheetPr codeName="Hoja7"/>
  <dimension ref="B2:O30"/>
  <sheetViews>
    <sheetView topLeftCell="B21" zoomScale="130" zoomScaleNormal="130" workbookViewId="0">
      <selection activeCell="G34" sqref="G34"/>
    </sheetView>
  </sheetViews>
  <sheetFormatPr baseColWidth="10" defaultRowHeight="15" x14ac:dyDescent="0.25"/>
  <cols>
    <col min="2" max="2" width="9.140625" customWidth="1"/>
    <col min="3" max="3" width="7.140625" bestFit="1" customWidth="1"/>
    <col min="4" max="4" width="17.42578125" bestFit="1" customWidth="1"/>
    <col min="8" max="8" width="8" bestFit="1" customWidth="1"/>
    <col min="9" max="9" width="7.42578125" bestFit="1" customWidth="1"/>
    <col min="10" max="10" width="11.42578125" customWidth="1"/>
    <col min="11" max="11" width="17.140625" customWidth="1"/>
    <col min="12" max="12" width="14.5703125" bestFit="1" customWidth="1"/>
  </cols>
  <sheetData>
    <row r="2" spans="2:15" x14ac:dyDescent="0.25">
      <c r="C2" s="8" t="s">
        <v>38</v>
      </c>
      <c r="D2" s="8" t="s">
        <v>0</v>
      </c>
      <c r="E2" s="8" t="s">
        <v>1</v>
      </c>
      <c r="F2" s="8" t="s">
        <v>2</v>
      </c>
      <c r="G2" s="8" t="s">
        <v>3</v>
      </c>
      <c r="H2" s="18"/>
      <c r="J2" s="16" t="s">
        <v>68</v>
      </c>
      <c r="K2" s="16" t="s">
        <v>75</v>
      </c>
      <c r="L2" s="16" t="s">
        <v>71</v>
      </c>
      <c r="M2" s="16" t="s">
        <v>72</v>
      </c>
      <c r="N2" s="16" t="s">
        <v>73</v>
      </c>
      <c r="O2" s="16" t="s">
        <v>74</v>
      </c>
    </row>
    <row r="3" spans="2:15" x14ac:dyDescent="0.25">
      <c r="C3" t="s">
        <v>4</v>
      </c>
      <c r="D3" t="s">
        <v>13</v>
      </c>
      <c r="E3">
        <f>SUMIF(ENTRADAS[COD],PRODUCTOS78[[#This Row],[COD]],ENTRADAS[CANT])</f>
        <v>60</v>
      </c>
      <c r="F3">
        <f>SUMIF(SALIDAS[COD],PRODUCTOS78[[#This Row],[COD]],SALIDAS[CANT])</f>
        <v>50</v>
      </c>
      <c r="G3">
        <f>PRODUCTOS78[[#This Row],[ENTRADAS]]-PRODUCTOS78[[#This Row],[SALIDAS]]</f>
        <v>10</v>
      </c>
      <c r="I3" t="s">
        <v>76</v>
      </c>
      <c r="J3" s="14" t="s">
        <v>67</v>
      </c>
      <c r="K3" s="19" t="str">
        <f>VLOOKUP(J3,PRODUCTOS78[],1,FALSE)</f>
        <v>A001</v>
      </c>
      <c r="L3" s="17" t="str">
        <f>VLOOKUP(J3,PRODUCTOS78[],2,FALSE)</f>
        <v>ESPONJAS</v>
      </c>
      <c r="M3" s="17">
        <f>VLOOKUP(J3,PRODUCTOS78[],3,FALSE)</f>
        <v>60</v>
      </c>
      <c r="N3" s="17">
        <f>VLOOKUP(J3,PRODUCTOS78[],4,FALSE)</f>
        <v>50</v>
      </c>
      <c r="O3" s="17">
        <f>VLOOKUP(J3,PRODUCTOS78[],5,FALSE)</f>
        <v>10</v>
      </c>
    </row>
    <row r="4" spans="2:15" x14ac:dyDescent="0.25">
      <c r="C4" t="s">
        <v>5</v>
      </c>
      <c r="D4" t="s">
        <v>14</v>
      </c>
      <c r="E4">
        <f>SUMIF(ENTRADAS[COD],PRODUCTOS78[[#This Row],[COD]],ENTRADAS[CANT])</f>
        <v>0</v>
      </c>
      <c r="F4">
        <f>SUMIF(SALIDAS[COD],PRODUCTOS78[[#This Row],[COD]],SALIDAS[CANT])</f>
        <v>21</v>
      </c>
      <c r="G4">
        <f>PRODUCTOS78[[#This Row],[ENTRADAS]]-PRODUCTOS78[[#This Row],[SALIDAS]]</f>
        <v>-21</v>
      </c>
    </row>
    <row r="5" spans="2:15" x14ac:dyDescent="0.25">
      <c r="C5" t="s">
        <v>6</v>
      </c>
      <c r="D5" t="s">
        <v>15</v>
      </c>
      <c r="E5">
        <f>SUMIF(ENTRADAS[COD],PRODUCTOS78[[#This Row],[COD]],ENTRADAS[CANT])</f>
        <v>0</v>
      </c>
      <c r="F5">
        <f>SUMIF(SALIDAS[COD],PRODUCTOS78[[#This Row],[COD]],SALIDAS[CANT])</f>
        <v>15</v>
      </c>
      <c r="G5">
        <f>PRODUCTOS78[[#This Row],[ENTRADAS]]-PRODUCTOS78[[#This Row],[SALIDAS]]</f>
        <v>-15</v>
      </c>
    </row>
    <row r="6" spans="2:15" x14ac:dyDescent="0.25">
      <c r="C6" t="s">
        <v>7</v>
      </c>
      <c r="D6" t="s">
        <v>16</v>
      </c>
      <c r="E6">
        <f>SUMIF(ENTRADAS[COD],PRODUCTOS78[[#This Row],[COD]],ENTRADAS[CANT])</f>
        <v>20</v>
      </c>
      <c r="F6">
        <f>SUMIF(SALIDAS[COD],PRODUCTOS78[[#This Row],[COD]],SALIDAS[CANT])</f>
        <v>13</v>
      </c>
      <c r="G6">
        <f>PRODUCTOS78[[#This Row],[ENTRADAS]]-PRODUCTOS78[[#This Row],[SALIDAS]]</f>
        <v>7</v>
      </c>
      <c r="J6" s="16" t="s">
        <v>70</v>
      </c>
      <c r="K6" s="16" t="s">
        <v>75</v>
      </c>
      <c r="L6" s="16" t="s">
        <v>71</v>
      </c>
      <c r="M6" s="16" t="s">
        <v>72</v>
      </c>
      <c r="N6" s="16" t="s">
        <v>73</v>
      </c>
      <c r="O6" s="16" t="s">
        <v>74</v>
      </c>
    </row>
    <row r="7" spans="2:15" x14ac:dyDescent="0.25">
      <c r="C7" t="s">
        <v>8</v>
      </c>
      <c r="D7" t="s">
        <v>17</v>
      </c>
      <c r="E7">
        <f>SUMIF(ENTRADAS[COD],PRODUCTOS78[[#This Row],[COD]],ENTRADAS[CANT])</f>
        <v>30</v>
      </c>
      <c r="F7">
        <f>SUMIF(SALIDAS[COD],PRODUCTOS78[[#This Row],[COD]],SALIDAS[CANT])</f>
        <v>2</v>
      </c>
      <c r="G7">
        <f>PRODUCTOS78[[#This Row],[ENTRADAS]]-PRODUCTOS78[[#This Row],[SALIDAS]]</f>
        <v>28</v>
      </c>
      <c r="I7" t="s">
        <v>77</v>
      </c>
      <c r="J7" s="14" t="s">
        <v>67</v>
      </c>
      <c r="K7" s="19" t="str">
        <f>_xlfn.XLOOKUP($J$7,PRODUCTOS78[COD],PRODUCTOS78[COD],"No encontrado")</f>
        <v>A001</v>
      </c>
      <c r="L7" s="19" t="str">
        <f>_xlfn.XLOOKUP($J$7,PRODUCTOS78[COD],PRODUCTOS78[ARTICULO],"No encontrado")</f>
        <v>ESPONJAS</v>
      </c>
      <c r="M7" s="19">
        <f>_xlfn.XLOOKUP($J$7,PRODUCTOS78[COD],PRODUCTOS78[ENTRADAS],"No encontrado")</f>
        <v>60</v>
      </c>
      <c r="N7" s="19">
        <f>_xlfn.XLOOKUP($J$7,PRODUCTOS78[COD],PRODUCTOS78[SALIDAS],"No encontrado")</f>
        <v>50</v>
      </c>
      <c r="O7" s="19">
        <f>_xlfn.XLOOKUP($J$7,PRODUCTOS78[COD],PRODUCTOS78[STOCK],"No encontrado")</f>
        <v>10</v>
      </c>
    </row>
    <row r="8" spans="2:15" x14ac:dyDescent="0.25">
      <c r="C8" t="s">
        <v>9</v>
      </c>
      <c r="D8" t="s">
        <v>18</v>
      </c>
      <c r="E8">
        <f>SUMIF(ENTRADAS[COD],PRODUCTOS78[[#This Row],[COD]],ENTRADAS[CANT])</f>
        <v>43</v>
      </c>
      <c r="F8">
        <f>SUMIF(SALIDAS[COD],PRODUCTOS78[[#This Row],[COD]],SALIDAS[CANT])</f>
        <v>0</v>
      </c>
      <c r="G8">
        <f>PRODUCTOS78[[#This Row],[ENTRADAS]]-PRODUCTOS78[[#This Row],[SALIDAS]]</f>
        <v>43</v>
      </c>
    </row>
    <row r="9" spans="2:15" x14ac:dyDescent="0.25">
      <c r="C9" t="s">
        <v>10</v>
      </c>
      <c r="D9" t="s">
        <v>19</v>
      </c>
      <c r="E9">
        <f>SUMIF(ENTRADAS[COD],PRODUCTOS78[[#This Row],[COD]],ENTRADAS[CANT])</f>
        <v>26</v>
      </c>
      <c r="F9">
        <f>SUMIF(SALIDAS[COD],PRODUCTOS78[[#This Row],[COD]],SALIDAS[CANT])</f>
        <v>5</v>
      </c>
      <c r="G9">
        <f>PRODUCTOS78[[#This Row],[ENTRADAS]]-PRODUCTOS78[[#This Row],[SALIDAS]]</f>
        <v>21</v>
      </c>
      <c r="I9" t="s">
        <v>79</v>
      </c>
      <c r="J9" s="20" t="s">
        <v>78</v>
      </c>
    </row>
    <row r="10" spans="2:15" x14ac:dyDescent="0.25">
      <c r="C10" t="s">
        <v>11</v>
      </c>
      <c r="D10" t="s">
        <v>20</v>
      </c>
      <c r="E10">
        <f>SUMIF(ENTRADAS[COD],PRODUCTOS78[[#This Row],[COD]],ENTRADAS[CANT])</f>
        <v>67</v>
      </c>
      <c r="F10">
        <f>SUMIF(SALIDAS[COD],PRODUCTOS78[[#This Row],[COD]],SALIDAS[CANT])</f>
        <v>23</v>
      </c>
      <c r="G10">
        <f>PRODUCTOS78[[#This Row],[ENTRADAS]]-PRODUCTOS78[[#This Row],[SALIDAS]]</f>
        <v>44</v>
      </c>
    </row>
    <row r="11" spans="2:15" x14ac:dyDescent="0.25">
      <c r="C11" t="s">
        <v>12</v>
      </c>
      <c r="D11" t="s">
        <v>21</v>
      </c>
      <c r="E11">
        <f>SUMIF(ENTRADAS[COD],PRODUCTOS78[[#This Row],[COD]],ENTRADAS[CANT])</f>
        <v>112</v>
      </c>
      <c r="F11">
        <f>SUMIF(SALIDAS[COD],PRODUCTOS78[[#This Row],[COD]],SALIDAS[CANT])</f>
        <v>0</v>
      </c>
      <c r="G11">
        <f>PRODUCTOS78[[#This Row],[ENTRADAS]]-PRODUCTOS78[[#This Row],[SALIDAS]]</f>
        <v>112</v>
      </c>
    </row>
    <row r="12" spans="2:15" x14ac:dyDescent="0.25">
      <c r="C12" t="s">
        <v>29</v>
      </c>
      <c r="D12" t="s">
        <v>47</v>
      </c>
      <c r="E12">
        <f>SUMIF(ENTRADAS[COD],PRODUCTOS78[[#This Row],[COD]],ENTRADAS[CANT])</f>
        <v>0</v>
      </c>
      <c r="F12">
        <f>SUMIF(SALIDAS[COD],PRODUCTOS78[[#This Row],[COD]],SALIDAS[CANT])</f>
        <v>0</v>
      </c>
      <c r="G12">
        <f>PRODUCTOS78[[#This Row],[ENTRADAS]]-PRODUCTOS78[[#This Row],[SALIDAS]]</f>
        <v>0</v>
      </c>
    </row>
    <row r="15" spans="2:15" x14ac:dyDescent="0.25">
      <c r="B15" s="40"/>
    </row>
    <row r="16" spans="2:15" x14ac:dyDescent="0.25">
      <c r="B16" s="40"/>
      <c r="C16">
        <v>1</v>
      </c>
      <c r="D16">
        <v>2</v>
      </c>
      <c r="E16">
        <v>3</v>
      </c>
      <c r="F16">
        <v>4</v>
      </c>
      <c r="G16">
        <v>5</v>
      </c>
    </row>
    <row r="17" spans="2:15" x14ac:dyDescent="0.25">
      <c r="B17" s="40" t="s">
        <v>106</v>
      </c>
      <c r="C17" s="39" t="s">
        <v>38</v>
      </c>
      <c r="D17" s="39" t="s">
        <v>0</v>
      </c>
      <c r="E17" s="39" t="s">
        <v>1</v>
      </c>
      <c r="F17" s="39" t="s">
        <v>2</v>
      </c>
      <c r="G17" s="39" t="s">
        <v>3</v>
      </c>
    </row>
    <row r="18" spans="2:15" x14ac:dyDescent="0.25">
      <c r="B18" s="40">
        <v>500</v>
      </c>
      <c r="C18" s="7" t="s">
        <v>4</v>
      </c>
      <c r="D18" s="7" t="s">
        <v>13</v>
      </c>
      <c r="E18" s="7">
        <v>60</v>
      </c>
      <c r="F18" s="7">
        <v>50</v>
      </c>
      <c r="G18" s="7">
        <v>10</v>
      </c>
      <c r="I18" s="41" t="s">
        <v>68</v>
      </c>
      <c r="J18" s="41" t="s">
        <v>75</v>
      </c>
      <c r="K18" s="41" t="s">
        <v>71</v>
      </c>
      <c r="L18" s="41" t="s">
        <v>72</v>
      </c>
      <c r="M18" s="41" t="s">
        <v>73</v>
      </c>
      <c r="N18" s="41" t="s">
        <v>74</v>
      </c>
    </row>
    <row r="19" spans="2:15" x14ac:dyDescent="0.25">
      <c r="B19" s="40">
        <v>600</v>
      </c>
      <c r="C19" s="7" t="s">
        <v>5</v>
      </c>
      <c r="D19" s="7" t="s">
        <v>14</v>
      </c>
      <c r="E19" s="7">
        <v>0</v>
      </c>
      <c r="F19" s="7">
        <v>21</v>
      </c>
      <c r="G19" s="7">
        <v>-21</v>
      </c>
      <c r="H19" t="s">
        <v>76</v>
      </c>
      <c r="I19" s="14" t="s">
        <v>107</v>
      </c>
      <c r="J19" s="19" t="str">
        <f>VLOOKUP(I19,C18:G27,1,FALSE)</f>
        <v>A004</v>
      </c>
      <c r="K19" s="19" t="str">
        <f>VLOOKUP(I19,C18:G27,2,FALSE)</f>
        <v>LIMPIA VIDRIOS</v>
      </c>
      <c r="L19" s="19">
        <f>VLOOKUP(I19,C18:G27,3,FALSE)</f>
        <v>20</v>
      </c>
      <c r="M19" s="19">
        <f>VLOOKUP(I19,C18:G27,4,FALSE)</f>
        <v>13</v>
      </c>
      <c r="N19" s="19">
        <f>VLOOKUP(I19,C18:G27,5,FALSE)</f>
        <v>7</v>
      </c>
    </row>
    <row r="20" spans="2:15" x14ac:dyDescent="0.25">
      <c r="B20" s="40">
        <v>700</v>
      </c>
      <c r="C20" s="7" t="s">
        <v>6</v>
      </c>
      <c r="D20" s="7" t="s">
        <v>15</v>
      </c>
      <c r="E20" s="7">
        <v>0</v>
      </c>
      <c r="F20" s="7">
        <v>15</v>
      </c>
      <c r="G20" s="7">
        <v>-15</v>
      </c>
    </row>
    <row r="21" spans="2:15" x14ac:dyDescent="0.25">
      <c r="B21" s="40">
        <v>800</v>
      </c>
      <c r="C21" s="7" t="s">
        <v>7</v>
      </c>
      <c r="D21" s="7" t="s">
        <v>16</v>
      </c>
      <c r="E21" s="7">
        <v>20</v>
      </c>
      <c r="F21" s="7">
        <v>13</v>
      </c>
      <c r="G21" s="7">
        <v>7</v>
      </c>
    </row>
    <row r="22" spans="2:15" x14ac:dyDescent="0.25">
      <c r="B22" s="40">
        <v>900</v>
      </c>
      <c r="C22" s="7" t="s">
        <v>8</v>
      </c>
      <c r="D22" s="7" t="s">
        <v>17</v>
      </c>
      <c r="E22" s="7">
        <v>30</v>
      </c>
      <c r="F22" s="7">
        <v>2</v>
      </c>
      <c r="G22" s="7">
        <v>28</v>
      </c>
      <c r="I22" s="41" t="s">
        <v>68</v>
      </c>
      <c r="J22" s="41" t="s">
        <v>75</v>
      </c>
      <c r="K22" s="41" t="s">
        <v>71</v>
      </c>
      <c r="L22" s="41" t="s">
        <v>72</v>
      </c>
      <c r="M22" s="41" t="s">
        <v>73</v>
      </c>
      <c r="N22" s="41" t="s">
        <v>74</v>
      </c>
      <c r="O22" s="42" t="s">
        <v>106</v>
      </c>
    </row>
    <row r="23" spans="2:15" x14ac:dyDescent="0.25">
      <c r="B23" s="40">
        <v>1000</v>
      </c>
      <c r="C23" s="7" t="s">
        <v>9</v>
      </c>
      <c r="D23" s="7" t="s">
        <v>18</v>
      </c>
      <c r="E23" s="7">
        <v>43</v>
      </c>
      <c r="F23" s="7">
        <v>0</v>
      </c>
      <c r="G23" s="7">
        <v>43</v>
      </c>
      <c r="H23" t="s">
        <v>79</v>
      </c>
      <c r="I23" s="14" t="s">
        <v>67</v>
      </c>
      <c r="J23" s="19" t="str">
        <f>_xlfn.XLOOKUP(I23,C18:C27,C18:C27,"No existe")</f>
        <v>A001</v>
      </c>
      <c r="K23" s="19" t="str">
        <f>_xlfn.XLOOKUP(I23,C18:C27,D18:D27,"No existe")</f>
        <v>ESPONJAS</v>
      </c>
      <c r="L23" s="19"/>
      <c r="M23" s="19"/>
      <c r="N23" s="19"/>
    </row>
    <row r="24" spans="2:15" x14ac:dyDescent="0.25">
      <c r="B24" s="40">
        <v>1100</v>
      </c>
      <c r="C24" s="7" t="s">
        <v>10</v>
      </c>
      <c r="D24" s="7" t="s">
        <v>19</v>
      </c>
      <c r="E24" s="7">
        <v>26</v>
      </c>
      <c r="F24" s="7">
        <v>5</v>
      </c>
      <c r="G24" s="7">
        <v>21</v>
      </c>
    </row>
    <row r="25" spans="2:15" x14ac:dyDescent="0.25">
      <c r="B25" s="40">
        <v>1200</v>
      </c>
      <c r="C25" s="7" t="s">
        <v>11</v>
      </c>
      <c r="D25" s="7" t="s">
        <v>20</v>
      </c>
      <c r="E25" s="7">
        <v>67</v>
      </c>
      <c r="F25" s="7">
        <v>23</v>
      </c>
      <c r="G25" s="7">
        <v>44</v>
      </c>
      <c r="H25" t="s">
        <v>79</v>
      </c>
      <c r="I25" s="20" t="s">
        <v>78</v>
      </c>
    </row>
    <row r="26" spans="2:15" x14ac:dyDescent="0.25">
      <c r="B26" s="40">
        <v>1300</v>
      </c>
      <c r="C26" s="7" t="s">
        <v>12</v>
      </c>
      <c r="D26" s="7" t="s">
        <v>21</v>
      </c>
      <c r="E26" s="7">
        <v>112</v>
      </c>
      <c r="F26" s="7">
        <v>0</v>
      </c>
      <c r="G26" s="7">
        <v>112</v>
      </c>
    </row>
    <row r="27" spans="2:15" x14ac:dyDescent="0.25">
      <c r="B27" s="40">
        <v>1400</v>
      </c>
      <c r="C27" s="7" t="s">
        <v>29</v>
      </c>
      <c r="D27" s="7" t="s">
        <v>47</v>
      </c>
      <c r="E27" s="7">
        <v>0</v>
      </c>
      <c r="F27" s="7">
        <v>0</v>
      </c>
      <c r="G27" s="7">
        <v>0</v>
      </c>
    </row>
    <row r="28" spans="2:15" x14ac:dyDescent="0.25">
      <c r="B28" s="40"/>
      <c r="J28" s="10"/>
    </row>
    <row r="29" spans="2:15" x14ac:dyDescent="0.25">
      <c r="B29" s="40"/>
    </row>
    <row r="30" spans="2:15" x14ac:dyDescent="0.25">
      <c r="B30" s="40"/>
    </row>
  </sheetData>
  <protectedRanges>
    <protectedRange algorithmName="SHA-512" hashValue="KUq7vQnNZbx7eg1i2j4MxoytziBBUySSs1Hjs190biFEtjqdnU+q10yDGbAYSwFRuHieyO7uZpqbGIlVFZYRWQ==" saltValue="ZC1/NXved7RYSdArvByoFA==" spinCount="100000" sqref="C3:D12" name="ADMINISTRADOR"/>
  </protectedRanges>
  <hyperlinks>
    <hyperlink ref="J9" r:id="rId1" xr:uid="{FCC629BE-18C7-4089-87BA-52F6E6587A11}"/>
    <hyperlink ref="I25" r:id="rId2" xr:uid="{F274F072-0243-4561-A548-4440B9BB601C}"/>
  </hyperlinks>
  <pageMargins left="0.7" right="0.7" top="0.75" bottom="0.75" header="0.3" footer="0.3"/>
  <ignoredErrors>
    <ignoredError sqref="M7" formula="1"/>
  </ignoredErrors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BEF34-4EE3-41CE-BC1E-22BA6D2156A3}">
  <sheetPr codeName="Hoja1"/>
  <dimension ref="A1:P39"/>
  <sheetViews>
    <sheetView topLeftCell="A13" zoomScale="114" zoomScaleNormal="115" workbookViewId="0">
      <selection activeCell="H37" sqref="H37:L37"/>
    </sheetView>
  </sheetViews>
  <sheetFormatPr baseColWidth="10" defaultRowHeight="15" x14ac:dyDescent="0.25"/>
  <cols>
    <col min="1" max="1" width="7.140625" bestFit="1" customWidth="1"/>
    <col min="2" max="2" width="18.5703125" bestFit="1" customWidth="1"/>
    <col min="3" max="3" width="12.7109375" customWidth="1"/>
    <col min="4" max="4" width="10.5703125" bestFit="1" customWidth="1"/>
    <col min="5" max="5" width="9" customWidth="1"/>
    <col min="6" max="6" width="3.85546875" customWidth="1"/>
    <col min="7" max="7" width="2" style="25" customWidth="1"/>
    <col min="15" max="15" width="13.42578125" customWidth="1"/>
    <col min="16" max="16" width="1.42578125" style="25" customWidth="1"/>
    <col min="17" max="17" width="1.42578125" customWidth="1"/>
    <col min="19" max="19" width="20" customWidth="1"/>
    <col min="21" max="21" width="11.42578125" customWidth="1"/>
  </cols>
  <sheetData>
    <row r="1" spans="1:13" x14ac:dyDescent="0.25">
      <c r="I1" t="s">
        <v>105</v>
      </c>
    </row>
    <row r="2" spans="1:13" x14ac:dyDescent="0.25">
      <c r="B2" t="s">
        <v>99</v>
      </c>
      <c r="H2" s="23" t="s">
        <v>82</v>
      </c>
    </row>
    <row r="3" spans="1:13" x14ac:dyDescent="0.25">
      <c r="H3" s="22" t="s">
        <v>81</v>
      </c>
      <c r="I3" t="s">
        <v>80</v>
      </c>
    </row>
    <row r="5" spans="1:13" x14ac:dyDescent="0.25">
      <c r="A5" s="26" t="s">
        <v>38</v>
      </c>
      <c r="B5" s="26" t="s">
        <v>0</v>
      </c>
      <c r="C5" s="26" t="s">
        <v>1</v>
      </c>
      <c r="D5" s="27" t="s">
        <v>2</v>
      </c>
      <c r="E5" s="33" t="s">
        <v>3</v>
      </c>
      <c r="F5" s="35"/>
      <c r="G5" s="29"/>
    </row>
    <row r="6" spans="1:13" x14ac:dyDescent="0.25">
      <c r="A6" s="17" t="str" cm="1">
        <f t="array" ref="A6">_xlfn._xlws.FILTER(TABLA1[],TABLA1[COD]=B2,"No se encontro")</f>
        <v>No se encontro</v>
      </c>
      <c r="B6" s="17"/>
      <c r="C6" s="17"/>
      <c r="D6" s="28"/>
      <c r="E6" s="34"/>
      <c r="F6" s="36"/>
      <c r="G6" s="30"/>
    </row>
    <row r="9" spans="1:13" ht="14.25" customHeight="1" x14ac:dyDescent="0.25"/>
    <row r="12" spans="1:13" x14ac:dyDescent="0.25">
      <c r="M12" s="24" t="s">
        <v>86</v>
      </c>
    </row>
    <row r="13" spans="1:13" x14ac:dyDescent="0.25">
      <c r="D13" t="s">
        <v>105</v>
      </c>
      <c r="M13" t="s">
        <v>87</v>
      </c>
    </row>
    <row r="14" spans="1:13" x14ac:dyDescent="0.25">
      <c r="A14" s="20" t="s">
        <v>104</v>
      </c>
      <c r="H14" s="23" t="s">
        <v>83</v>
      </c>
    </row>
    <row r="15" spans="1:13" x14ac:dyDescent="0.25">
      <c r="H15" s="22" t="s">
        <v>84</v>
      </c>
      <c r="I15" t="s">
        <v>85</v>
      </c>
    </row>
    <row r="16" spans="1:13" x14ac:dyDescent="0.25">
      <c r="A16" s="52" t="s">
        <v>90</v>
      </c>
      <c r="B16" s="52"/>
      <c r="C16" s="52"/>
      <c r="D16" s="52"/>
      <c r="E16" s="52"/>
      <c r="H16" t="s">
        <v>89</v>
      </c>
    </row>
    <row r="17" spans="1:6" x14ac:dyDescent="0.25">
      <c r="A17" s="52"/>
      <c r="B17" s="52"/>
      <c r="C17" s="52"/>
      <c r="D17" s="52"/>
      <c r="E17" s="52"/>
    </row>
    <row r="18" spans="1:6" x14ac:dyDescent="0.25">
      <c r="A18" s="8" t="s">
        <v>38</v>
      </c>
      <c r="B18" s="8" t="s">
        <v>0</v>
      </c>
      <c r="C18" s="8" t="s">
        <v>1</v>
      </c>
      <c r="D18" s="8" t="s">
        <v>2</v>
      </c>
      <c r="E18" s="8" t="s">
        <v>3</v>
      </c>
      <c r="F18" s="18"/>
    </row>
    <row r="19" spans="1:6" x14ac:dyDescent="0.25">
      <c r="A19" t="s">
        <v>4</v>
      </c>
      <c r="B19" t="s">
        <v>13</v>
      </c>
      <c r="C19">
        <f>SUMIF(ENTRADAS[COD],TABLA1[[#This Row],[COD]],ENTRADAS[CANT])</f>
        <v>60</v>
      </c>
      <c r="D19">
        <f>SUMIF(SALIDAS[COD],TABLA1[[#This Row],[COD]],SALIDAS[CANT])</f>
        <v>50</v>
      </c>
      <c r="E19">
        <f>TABLA1[[#This Row],[ENTRADAS]]-TABLA1[[#This Row],[SALIDAS]]</f>
        <v>10</v>
      </c>
    </row>
    <row r="20" spans="1:6" x14ac:dyDescent="0.25">
      <c r="A20" t="s">
        <v>5</v>
      </c>
      <c r="B20" t="s">
        <v>14</v>
      </c>
      <c r="C20">
        <f>SUMIF(ENTRADAS[COD],TABLA1[[#This Row],[COD]],ENTRADAS[CANT])</f>
        <v>0</v>
      </c>
      <c r="D20">
        <f>SUMIF(SALIDAS[COD],TABLA1[[#This Row],[COD]],SALIDAS[CANT])</f>
        <v>21</v>
      </c>
      <c r="E20">
        <f>TABLA1[[#This Row],[ENTRADAS]]-TABLA1[[#This Row],[SALIDAS]]</f>
        <v>-21</v>
      </c>
    </row>
    <row r="21" spans="1:6" x14ac:dyDescent="0.25">
      <c r="A21" t="s">
        <v>6</v>
      </c>
      <c r="B21" t="s">
        <v>15</v>
      </c>
      <c r="C21">
        <f>SUMIF(ENTRADAS[COD],TABLA1[[#This Row],[COD]],ENTRADAS[CANT])</f>
        <v>0</v>
      </c>
      <c r="D21">
        <f>SUMIF(SALIDAS[COD],TABLA1[[#This Row],[COD]],SALIDAS[CANT])</f>
        <v>15</v>
      </c>
      <c r="E21">
        <f>TABLA1[[#This Row],[ENTRADAS]]-TABLA1[[#This Row],[SALIDAS]]</f>
        <v>-15</v>
      </c>
    </row>
    <row r="22" spans="1:6" x14ac:dyDescent="0.25">
      <c r="A22" t="s">
        <v>7</v>
      </c>
      <c r="B22" t="s">
        <v>16</v>
      </c>
      <c r="C22">
        <f>SUMIF(ENTRADAS[COD],TABLA1[[#This Row],[COD]],ENTRADAS[CANT])</f>
        <v>20</v>
      </c>
      <c r="D22">
        <f>SUMIF(SALIDAS[COD],TABLA1[[#This Row],[COD]],SALIDAS[CANT])</f>
        <v>13</v>
      </c>
      <c r="E22">
        <f>TABLA1[[#This Row],[ENTRADAS]]-TABLA1[[#This Row],[SALIDAS]]</f>
        <v>7</v>
      </c>
    </row>
    <row r="23" spans="1:6" x14ac:dyDescent="0.25">
      <c r="A23" t="s">
        <v>8</v>
      </c>
      <c r="B23" t="s">
        <v>17</v>
      </c>
      <c r="C23">
        <f>SUMIF(ENTRADAS[COD],TABLA1[[#This Row],[COD]],ENTRADAS[CANT])</f>
        <v>30</v>
      </c>
      <c r="D23">
        <f>SUMIF(SALIDAS[COD],TABLA1[[#This Row],[COD]],SALIDAS[CANT])</f>
        <v>2</v>
      </c>
      <c r="E23">
        <f>TABLA1[[#This Row],[ENTRADAS]]-TABLA1[[#This Row],[SALIDAS]]</f>
        <v>28</v>
      </c>
    </row>
    <row r="24" spans="1:6" x14ac:dyDescent="0.25">
      <c r="A24" t="s">
        <v>9</v>
      </c>
      <c r="B24" t="s">
        <v>18</v>
      </c>
      <c r="C24">
        <f>SUMIF(ENTRADAS[COD],TABLA1[[#This Row],[COD]],ENTRADAS[CANT])</f>
        <v>43</v>
      </c>
      <c r="D24">
        <f>SUMIF(SALIDAS[COD],TABLA1[[#This Row],[COD]],SALIDAS[CANT])</f>
        <v>0</v>
      </c>
      <c r="E24">
        <f>TABLA1[[#This Row],[ENTRADAS]]-TABLA1[[#This Row],[SALIDAS]]</f>
        <v>43</v>
      </c>
    </row>
    <row r="25" spans="1:6" x14ac:dyDescent="0.25">
      <c r="A25" t="s">
        <v>10</v>
      </c>
      <c r="B25" t="s">
        <v>19</v>
      </c>
      <c r="C25">
        <f>SUMIF(ENTRADAS[COD],TABLA1[[#This Row],[COD]],ENTRADAS[CANT])</f>
        <v>26</v>
      </c>
      <c r="D25">
        <f>SUMIF(SALIDAS[COD],TABLA1[[#This Row],[COD]],SALIDAS[CANT])</f>
        <v>5</v>
      </c>
      <c r="E25">
        <f>TABLA1[[#This Row],[ENTRADAS]]-TABLA1[[#This Row],[SALIDAS]]</f>
        <v>21</v>
      </c>
    </row>
    <row r="26" spans="1:6" x14ac:dyDescent="0.25">
      <c r="A26" t="s">
        <v>11</v>
      </c>
      <c r="B26" t="s">
        <v>20</v>
      </c>
      <c r="C26">
        <f>SUMIF(ENTRADAS[COD],TABLA1[[#This Row],[COD]],ENTRADAS[CANT])</f>
        <v>67</v>
      </c>
      <c r="D26">
        <f>SUMIF(SALIDAS[COD],TABLA1[[#This Row],[COD]],SALIDAS[CANT])</f>
        <v>23</v>
      </c>
      <c r="E26">
        <f>TABLA1[[#This Row],[ENTRADAS]]-TABLA1[[#This Row],[SALIDAS]]</f>
        <v>44</v>
      </c>
    </row>
    <row r="27" spans="1:6" x14ac:dyDescent="0.25">
      <c r="A27" t="s">
        <v>12</v>
      </c>
      <c r="B27" t="s">
        <v>21</v>
      </c>
      <c r="C27">
        <f>SUMIF(ENTRADAS[COD],TABLA1[[#This Row],[COD]],ENTRADAS[CANT])</f>
        <v>112</v>
      </c>
      <c r="D27">
        <f>SUMIF(SALIDAS[COD],TABLA1[[#This Row],[COD]],SALIDAS[CANT])</f>
        <v>0</v>
      </c>
      <c r="E27">
        <f>TABLA1[[#This Row],[ENTRADAS]]-TABLA1[[#This Row],[SALIDAS]]</f>
        <v>112</v>
      </c>
    </row>
    <row r="28" spans="1:6" x14ac:dyDescent="0.25">
      <c r="A28" t="s">
        <v>29</v>
      </c>
      <c r="B28" t="s">
        <v>47</v>
      </c>
      <c r="C28">
        <f>SUMIF(ENTRADAS[COD],TABLA1[[#This Row],[COD]],ENTRADAS[CANT])</f>
        <v>0</v>
      </c>
      <c r="D28">
        <f>SUMIF(SALIDAS[COD],TABLA1[[#This Row],[COD]],SALIDAS[CANT])</f>
        <v>0</v>
      </c>
      <c r="E28">
        <f>TABLA1[[#This Row],[ENTRADAS]]-TABLA1[[#This Row],[SALIDAS]]</f>
        <v>0</v>
      </c>
    </row>
    <row r="33" spans="4:12" x14ac:dyDescent="0.25">
      <c r="H33" s="24" t="s">
        <v>88</v>
      </c>
    </row>
    <row r="34" spans="4:12" x14ac:dyDescent="0.25">
      <c r="H34" s="51" t="s">
        <v>92</v>
      </c>
      <c r="I34" s="51"/>
      <c r="J34" s="51"/>
      <c r="K34" s="51"/>
      <c r="L34" s="51"/>
    </row>
    <row r="35" spans="4:12" x14ac:dyDescent="0.25">
      <c r="H35" s="51"/>
      <c r="I35" s="51"/>
      <c r="J35" s="51"/>
      <c r="K35" s="51"/>
      <c r="L35" s="51"/>
    </row>
    <row r="36" spans="4:12" x14ac:dyDescent="0.25">
      <c r="D36" s="10"/>
    </row>
    <row r="37" spans="4:12" ht="15" customHeight="1" x14ac:dyDescent="0.25">
      <c r="H37" s="53" t="s">
        <v>91</v>
      </c>
      <c r="I37" s="53"/>
      <c r="J37" s="53"/>
      <c r="K37" s="53"/>
      <c r="L37" s="53"/>
    </row>
    <row r="38" spans="4:12" x14ac:dyDescent="0.25">
      <c r="H38" s="37"/>
      <c r="I38" s="37"/>
      <c r="J38" s="37"/>
      <c r="K38" s="37"/>
      <c r="L38" s="37"/>
    </row>
    <row r="39" spans="4:12" x14ac:dyDescent="0.25">
      <c r="H39" s="37"/>
      <c r="I39" s="37"/>
      <c r="J39" s="37"/>
      <c r="K39" s="37"/>
      <c r="L39" s="37"/>
    </row>
  </sheetData>
  <protectedRanges>
    <protectedRange algorithmName="SHA-512" hashValue="KUq7vQnNZbx7eg1i2j4MxoytziBBUySSs1Hjs190biFEtjqdnU+q10yDGbAYSwFRuHieyO7uZpqbGIlVFZYRWQ==" saltValue="ZC1/NXved7RYSdArvByoFA==" spinCount="100000" sqref="A19:B28" name="ADMINISTRADOR_1"/>
  </protectedRanges>
  <mergeCells count="3">
    <mergeCell ref="H34:L35"/>
    <mergeCell ref="A16:E17"/>
    <mergeCell ref="H37:L37"/>
  </mergeCells>
  <hyperlinks>
    <hyperlink ref="A14" r:id="rId1" xr:uid="{09D185B5-7D25-4553-BF28-4D5798420850}"/>
  </hyperlinks>
  <pageMargins left="0.7" right="0.7" top="0.75" bottom="0.75" header="0.3" footer="0.3"/>
  <drawing r:id="rId2"/>
  <legacyDrawing r:id="rId3"/>
  <controls>
    <mc:AlternateContent xmlns:mc="http://schemas.openxmlformats.org/markup-compatibility/2006">
      <mc:Choice Requires="x14">
        <control shapeId="3073" r:id="rId4" name="TextBox1">
          <controlPr defaultSize="0" autoLine="0" autoPict="0" linkedCell="B2" r:id="rId5">
            <anchor moveWithCells="1">
              <from>
                <xdr:col>1</xdr:col>
                <xdr:colOff>142875</xdr:colOff>
                <xdr:row>1</xdr:row>
                <xdr:rowOff>38100</xdr:rowOff>
              </from>
              <to>
                <xdr:col>4</xdr:col>
                <xdr:colOff>200025</xdr:colOff>
                <xdr:row>2</xdr:row>
                <xdr:rowOff>104775</xdr:rowOff>
              </to>
            </anchor>
          </controlPr>
        </control>
      </mc:Choice>
      <mc:Fallback>
        <control shapeId="3073" r:id="rId4" name="TextBox1"/>
      </mc:Fallback>
    </mc:AlternateContent>
  </controls>
  <tableParts count="1"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E21D-C386-4214-B01F-4994C887EE79}">
  <sheetPr codeName="Hoja8"/>
  <dimension ref="B1:K28"/>
  <sheetViews>
    <sheetView tabSelected="1" zoomScale="70" zoomScaleNormal="70" workbookViewId="0">
      <selection activeCell="M18" sqref="M18"/>
    </sheetView>
  </sheetViews>
  <sheetFormatPr baseColWidth="10" defaultRowHeight="15" x14ac:dyDescent="0.25"/>
  <cols>
    <col min="1" max="1" width="2.42578125" customWidth="1"/>
    <col min="3" max="3" width="18.28515625" bestFit="1" customWidth="1"/>
    <col min="8" max="8" width="17" customWidth="1"/>
    <col min="11" max="11" width="15.7109375" bestFit="1" customWidth="1"/>
  </cols>
  <sheetData>
    <row r="1" spans="2:11" x14ac:dyDescent="0.25">
      <c r="H1" s="20" t="s">
        <v>104</v>
      </c>
    </row>
    <row r="2" spans="2:11" x14ac:dyDescent="0.25">
      <c r="B2" t="s">
        <v>67</v>
      </c>
    </row>
    <row r="4" spans="2:11" ht="12.75" customHeight="1" x14ac:dyDescent="0.25">
      <c r="B4" s="8" t="s">
        <v>38</v>
      </c>
      <c r="C4" s="8" t="s">
        <v>0</v>
      </c>
      <c r="D4" s="8" t="s">
        <v>1</v>
      </c>
      <c r="E4" s="8" t="s">
        <v>2</v>
      </c>
      <c r="F4" s="8" t="s">
        <v>3</v>
      </c>
      <c r="H4" s="31" t="s">
        <v>93</v>
      </c>
      <c r="I4" s="31" t="s">
        <v>95</v>
      </c>
      <c r="K4" s="1" t="s">
        <v>94</v>
      </c>
    </row>
    <row r="5" spans="2:11" x14ac:dyDescent="0.25">
      <c r="B5" t="s">
        <v>4</v>
      </c>
      <c r="C5" t="s">
        <v>13</v>
      </c>
      <c r="D5">
        <v>60</v>
      </c>
      <c r="E5">
        <v>50</v>
      </c>
      <c r="F5">
        <f>TABLA2[[#This Row],[ENTRADAS]]-TABLA2[[#This Row],[SALIDAS]]</f>
        <v>10</v>
      </c>
      <c r="H5" t="e" cm="1">
        <f t="array" ref="H5:H16">SEARCH(M25K5,TABLA2[COD])</f>
        <v>#NAME?</v>
      </c>
      <c r="I5" t="b">
        <f>ISNUMBER(H5)</f>
        <v>0</v>
      </c>
      <c r="K5" t="s">
        <v>67</v>
      </c>
    </row>
    <row r="6" spans="2:11" x14ac:dyDescent="0.25">
      <c r="B6" t="s">
        <v>5</v>
      </c>
      <c r="C6" t="s">
        <v>14</v>
      </c>
      <c r="D6">
        <v>50</v>
      </c>
      <c r="E6">
        <v>21</v>
      </c>
      <c r="F6">
        <f>TABLA2[[#This Row],[ENTRADAS]]-TABLA2[[#This Row],[SALIDAS]]</f>
        <v>29</v>
      </c>
      <c r="H6" t="e">
        <v>#NAME?</v>
      </c>
      <c r="I6" t="b">
        <f t="shared" ref="I6:I14" si="0">ISNUMBER(H6)</f>
        <v>0</v>
      </c>
    </row>
    <row r="7" spans="2:11" x14ac:dyDescent="0.25">
      <c r="B7" t="s">
        <v>6</v>
      </c>
      <c r="C7" t="s">
        <v>15</v>
      </c>
      <c r="D7">
        <v>100</v>
      </c>
      <c r="E7">
        <v>15</v>
      </c>
      <c r="F7">
        <f>TABLA2[[#This Row],[ENTRADAS]]-TABLA2[[#This Row],[SALIDAS]]</f>
        <v>85</v>
      </c>
      <c r="H7" t="e">
        <v>#NAME?</v>
      </c>
      <c r="I7" t="b">
        <f t="shared" si="0"/>
        <v>0</v>
      </c>
    </row>
    <row r="8" spans="2:11" x14ac:dyDescent="0.25">
      <c r="B8" t="s">
        <v>7</v>
      </c>
      <c r="C8" t="s">
        <v>16</v>
      </c>
      <c r="D8">
        <v>20</v>
      </c>
      <c r="E8">
        <v>13</v>
      </c>
      <c r="F8">
        <f>TABLA2[[#This Row],[ENTRADAS]]-TABLA2[[#This Row],[SALIDAS]]</f>
        <v>7</v>
      </c>
      <c r="H8" t="e">
        <v>#NAME?</v>
      </c>
      <c r="I8" t="b">
        <f t="shared" si="0"/>
        <v>0</v>
      </c>
    </row>
    <row r="9" spans="2:11" x14ac:dyDescent="0.25">
      <c r="B9" t="s">
        <v>8</v>
      </c>
      <c r="C9" t="s">
        <v>17</v>
      </c>
      <c r="D9">
        <v>30</v>
      </c>
      <c r="E9">
        <v>2</v>
      </c>
      <c r="F9">
        <f>TABLA2[[#This Row],[ENTRADAS]]-TABLA2[[#This Row],[SALIDAS]]</f>
        <v>28</v>
      </c>
      <c r="H9" t="e">
        <v>#NAME?</v>
      </c>
      <c r="I9" t="b">
        <f t="shared" si="0"/>
        <v>0</v>
      </c>
    </row>
    <row r="10" spans="2:11" x14ac:dyDescent="0.25">
      <c r="B10" t="s">
        <v>9</v>
      </c>
      <c r="C10" t="s">
        <v>18</v>
      </c>
      <c r="D10">
        <v>43</v>
      </c>
      <c r="E10">
        <v>0</v>
      </c>
      <c r="F10">
        <f>TABLA2[[#This Row],[ENTRADAS]]-TABLA2[[#This Row],[SALIDAS]]</f>
        <v>43</v>
      </c>
      <c r="H10" t="e">
        <v>#NAME?</v>
      </c>
      <c r="I10" t="b">
        <f t="shared" si="0"/>
        <v>0</v>
      </c>
    </row>
    <row r="11" spans="2:11" x14ac:dyDescent="0.25">
      <c r="B11" t="s">
        <v>10</v>
      </c>
      <c r="C11" t="s">
        <v>19</v>
      </c>
      <c r="D11">
        <v>26</v>
      </c>
      <c r="E11">
        <v>5</v>
      </c>
      <c r="F11">
        <f>TABLA2[[#This Row],[ENTRADAS]]-TABLA2[[#This Row],[SALIDAS]]</f>
        <v>21</v>
      </c>
      <c r="H11" t="e">
        <v>#NAME?</v>
      </c>
      <c r="I11" t="b">
        <f t="shared" si="0"/>
        <v>0</v>
      </c>
    </row>
    <row r="12" spans="2:11" x14ac:dyDescent="0.25">
      <c r="B12" t="s">
        <v>11</v>
      </c>
      <c r="C12" t="s">
        <v>20</v>
      </c>
      <c r="D12">
        <v>67</v>
      </c>
      <c r="E12">
        <v>23</v>
      </c>
      <c r="F12">
        <f>TABLA2[[#This Row],[ENTRADAS]]-TABLA2[[#This Row],[SALIDAS]]</f>
        <v>44</v>
      </c>
      <c r="H12" t="e">
        <v>#NAME?</v>
      </c>
      <c r="I12" t="b">
        <f t="shared" si="0"/>
        <v>0</v>
      </c>
    </row>
    <row r="13" spans="2:11" x14ac:dyDescent="0.25">
      <c r="B13" t="s">
        <v>12</v>
      </c>
      <c r="C13" t="s">
        <v>21</v>
      </c>
      <c r="D13">
        <v>112</v>
      </c>
      <c r="E13">
        <v>0</v>
      </c>
      <c r="F13">
        <f>TABLA2[[#This Row],[ENTRADAS]]-TABLA2[[#This Row],[SALIDAS]]</f>
        <v>112</v>
      </c>
      <c r="H13" t="e">
        <v>#NAME?</v>
      </c>
      <c r="I13" t="b">
        <f t="shared" si="0"/>
        <v>0</v>
      </c>
    </row>
    <row r="14" spans="2:11" x14ac:dyDescent="0.25">
      <c r="B14" t="s">
        <v>29</v>
      </c>
      <c r="C14" t="s">
        <v>47</v>
      </c>
      <c r="D14">
        <v>0</v>
      </c>
      <c r="E14">
        <v>0</v>
      </c>
      <c r="F14">
        <f>TABLA2[[#This Row],[ENTRADAS]]-TABLA2[[#This Row],[SALIDAS]]</f>
        <v>0</v>
      </c>
      <c r="H14" t="e">
        <v>#NAME?</v>
      </c>
      <c r="I14" t="b">
        <f t="shared" si="0"/>
        <v>0</v>
      </c>
    </row>
    <row r="15" spans="2:11" x14ac:dyDescent="0.25">
      <c r="B15" t="s">
        <v>99</v>
      </c>
      <c r="C15" t="s">
        <v>100</v>
      </c>
      <c r="D15">
        <v>100</v>
      </c>
      <c r="E15">
        <v>0</v>
      </c>
      <c r="F15">
        <f>TABLA2[[#This Row],[ENTRADAS]]-TABLA2[[#This Row],[SALIDAS]]</f>
        <v>100</v>
      </c>
      <c r="H15" t="e">
        <v>#NAME?</v>
      </c>
    </row>
    <row r="16" spans="2:11" x14ac:dyDescent="0.25">
      <c r="B16" t="s">
        <v>101</v>
      </c>
      <c r="C16" t="s">
        <v>102</v>
      </c>
      <c r="D16">
        <v>250</v>
      </c>
      <c r="E16">
        <v>150</v>
      </c>
      <c r="F16">
        <f>TABLA2[[#This Row],[ENTRADAS]]-TABLA2[[#This Row],[SALIDAS]]</f>
        <v>100</v>
      </c>
      <c r="H16" t="e">
        <v>#NAME?</v>
      </c>
    </row>
    <row r="19" spans="2:6" x14ac:dyDescent="0.25">
      <c r="B19" s="1" t="s">
        <v>96</v>
      </c>
      <c r="E19" s="10" t="s">
        <v>98</v>
      </c>
    </row>
    <row r="21" spans="2:6" x14ac:dyDescent="0.25">
      <c r="B21" s="26" t="s">
        <v>38</v>
      </c>
      <c r="C21" s="26" t="s">
        <v>0</v>
      </c>
      <c r="D21" s="26" t="s">
        <v>1</v>
      </c>
      <c r="E21" s="27" t="s">
        <v>2</v>
      </c>
      <c r="F21" s="33" t="s">
        <v>3</v>
      </c>
    </row>
    <row r="22" spans="2:6" x14ac:dyDescent="0.25">
      <c r="B22" s="17" t="str" cm="1">
        <f t="array" ref="B22:F22">_xlfn._xlws.FILTER(TABLA2[],TABLA2[COD]=B2,"No se encontro")</f>
        <v>A001</v>
      </c>
      <c r="C22" s="17" t="str">
        <v>ESPONJAS</v>
      </c>
      <c r="D22" s="17">
        <v>60</v>
      </c>
      <c r="E22" s="28">
        <v>50</v>
      </c>
      <c r="F22" s="34">
        <v>10</v>
      </c>
    </row>
    <row r="25" spans="2:6" x14ac:dyDescent="0.25">
      <c r="B25" s="32" t="s">
        <v>97</v>
      </c>
      <c r="E25" s="10" t="s">
        <v>103</v>
      </c>
    </row>
    <row r="27" spans="2:6" x14ac:dyDescent="0.25">
      <c r="B27" s="26" t="s">
        <v>38</v>
      </c>
      <c r="C27" s="26" t="s">
        <v>0</v>
      </c>
      <c r="D27" s="26" t="s">
        <v>1</v>
      </c>
      <c r="E27" s="27" t="s">
        <v>2</v>
      </c>
      <c r="F27" s="33" t="s">
        <v>3</v>
      </c>
    </row>
    <row r="28" spans="2:6" x14ac:dyDescent="0.25">
      <c r="B28" s="17" t="str" cm="1">
        <f t="array" ref="B28:F28">_xlfn._xlws.FILTER(TABLA2[],ISNUMBER(SEARCH(B2,TABLA2[COD])),"No se encontro")</f>
        <v>A001</v>
      </c>
      <c r="C28" s="17" t="str">
        <v>ESPONJAS</v>
      </c>
      <c r="D28" s="17">
        <v>60</v>
      </c>
      <c r="E28" s="28">
        <v>50</v>
      </c>
      <c r="F28" s="34">
        <v>10</v>
      </c>
    </row>
  </sheetData>
  <protectedRanges>
    <protectedRange algorithmName="SHA-512" hashValue="KUq7vQnNZbx7eg1i2j4MxoytziBBUySSs1Hjs190biFEtjqdnU+q10yDGbAYSwFRuHieyO7uZpqbGIlVFZYRWQ==" saltValue="ZC1/NXved7RYSdArvByoFA==" spinCount="100000" sqref="B5:C14" name="ADMINISTRADOR_1"/>
  </protectedRanges>
  <hyperlinks>
    <hyperlink ref="H1" r:id="rId1" xr:uid="{D3028ED8-1154-48FD-816F-2BA807CF2C60}"/>
  </hyperlinks>
  <pageMargins left="0.7" right="0.7" top="0.75" bottom="0.75" header="0.3" footer="0.3"/>
  <drawing r:id="rId2"/>
  <legacyDrawing r:id="rId3"/>
  <controls>
    <mc:AlternateContent xmlns:mc="http://schemas.openxmlformats.org/markup-compatibility/2006">
      <mc:Choice Requires="x14">
        <control shapeId="8193" r:id="rId4" name="TextBox1">
          <controlPr defaultSize="0" autoLine="0" linkedCell="B2" r:id="rId5">
            <anchor moveWithCells="1">
              <from>
                <xdr:col>1</xdr:col>
                <xdr:colOff>723900</xdr:colOff>
                <xdr:row>0</xdr:row>
                <xdr:rowOff>104775</xdr:rowOff>
              </from>
              <to>
                <xdr:col>5</xdr:col>
                <xdr:colOff>504825</xdr:colOff>
                <xdr:row>2</xdr:row>
                <xdr:rowOff>0</xdr:rowOff>
              </to>
            </anchor>
          </controlPr>
        </control>
      </mc:Choice>
      <mc:Fallback>
        <control shapeId="8193" r:id="rId4" name="TextBox1"/>
      </mc:Fallback>
    </mc:AlternateContent>
  </controls>
  <tableParts count="1"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0E0BD-3665-4F9B-B7F3-4A5DBE339577}">
  <sheetPr codeName="Hoja2"/>
  <dimension ref="A1:H5"/>
  <sheetViews>
    <sheetView zoomScale="114" zoomScaleNormal="115" workbookViewId="0">
      <selection activeCell="E9" sqref="E9"/>
    </sheetView>
  </sheetViews>
  <sheetFormatPr baseColWidth="10" defaultRowHeight="15" x14ac:dyDescent="0.25"/>
  <sheetData>
    <row r="1" spans="1:8" x14ac:dyDescent="0.25">
      <c r="H1" t="s">
        <v>115</v>
      </c>
    </row>
    <row r="2" spans="1:8" x14ac:dyDescent="0.25">
      <c r="C2" t="s">
        <v>67</v>
      </c>
    </row>
    <row r="5" spans="1:8" x14ac:dyDescent="0.25">
      <c r="A5" s="10" t="s">
        <v>116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3" r:id="rId3" name="TextBox1">
          <controlPr defaultSize="0" autoLine="0" autoPict="0" linkedCell="C2" r:id="rId4">
            <anchor moveWithCells="1">
              <from>
                <xdr:col>1</xdr:col>
                <xdr:colOff>228600</xdr:colOff>
                <xdr:row>0</xdr:row>
                <xdr:rowOff>95250</xdr:rowOff>
              </from>
              <to>
                <xdr:col>5</xdr:col>
                <xdr:colOff>428625</xdr:colOff>
                <xdr:row>1</xdr:row>
                <xdr:rowOff>190500</xdr:rowOff>
              </to>
            </anchor>
          </controlPr>
        </control>
      </mc:Choice>
      <mc:Fallback>
        <control shapeId="13313" r:id="rId3" name="Text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FORMULAS</vt:lpstr>
      <vt:lpstr>VALIDACION SELECT</vt:lpstr>
      <vt:lpstr>INVENTARIO</vt:lpstr>
      <vt:lpstr>POR ULTIMO BLOQUEAR</vt:lpstr>
      <vt:lpstr>BuscarH</vt:lpstr>
      <vt:lpstr>BuscarX</vt:lpstr>
      <vt:lpstr>Buscar VB</vt:lpstr>
      <vt:lpstr>Buscar VB avanzado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FREDDY NELSON MUÑOZ YEPES</cp:lastModifiedBy>
  <dcterms:created xsi:type="dcterms:W3CDTF">2024-07-15T21:45:56Z</dcterms:created>
  <dcterms:modified xsi:type="dcterms:W3CDTF">2026-04-28T21:16:29Z</dcterms:modified>
</cp:coreProperties>
</file>